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kondakorne\Documents\ktg vet rend mod  intézm\2018\április\"/>
    </mc:Choice>
  </mc:AlternateContent>
  <bookViews>
    <workbookView xWindow="0" yWindow="0" windowWidth="25200" windowHeight="12135" tabRatio="597"/>
  </bookViews>
  <sheets>
    <sheet name="Össz.önkor.mérleg." sheetId="47" r:id="rId1"/>
    <sheet name="működ. mérleg " sheetId="48" state="hidden" r:id="rId2"/>
    <sheet name="felhalm. mérleg" sheetId="49" state="hidden" r:id="rId3"/>
    <sheet name="2018 évi állami tám" sheetId="67" state="hidden" r:id="rId4"/>
    <sheet name="2016 állami tám " sheetId="58" state="hidden" r:id="rId5"/>
    <sheet name="közhatalmi bevételek" sheetId="14" state="hidden" r:id="rId6"/>
    <sheet name="tám, végl. pe.átv  " sheetId="5" state="hidden" r:id="rId7"/>
    <sheet name="állami támog" sheetId="70" state="hidden" r:id="rId8"/>
    <sheet name="felh. bev.  " sheetId="6" state="hidden" r:id="rId9"/>
    <sheet name="mc.pe.átad" sheetId="7" state="hidden" r:id="rId10"/>
    <sheet name="felhalm. kiad.  " sheetId="8" state="hidden" r:id="rId11"/>
    <sheet name="tartalék" sheetId="10" state="hidden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state="hidden" r:id="rId16"/>
    <sheet name="ellátottak önk." sheetId="63" state="hidden" r:id="rId17"/>
    <sheet name="ellátottak hivatal" sheetId="18" state="hidden" r:id="rId18"/>
    <sheet name="püm. GAMESZ. " sheetId="44" r:id="rId19"/>
    <sheet name="püm.Brunszvik" sheetId="51" state="hidden" r:id="rId20"/>
    <sheet name="püm Festetics" sheetId="64" r:id="rId21"/>
    <sheet name="püm-TASZII." sheetId="42" r:id="rId22"/>
    <sheet name="Munka2" sheetId="72" state="hidden" r:id="rId23"/>
    <sheet name="likvid" sheetId="24" state="hidden" r:id="rId24"/>
    <sheet name="Munka1" sheetId="73" state="hidden" r:id="rId25"/>
    <sheet name="létszám" sheetId="68" state="hidden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'!$7:$9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mc.pe.átad!$8:$9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H48" i="45" l="1"/>
  <c r="H49" i="45"/>
  <c r="G49" i="45"/>
  <c r="F35" i="46"/>
  <c r="G35" i="46"/>
  <c r="F35" i="47"/>
  <c r="G35" i="47"/>
  <c r="H35" i="47"/>
  <c r="I35" i="47"/>
  <c r="J35" i="47"/>
  <c r="T53" i="47"/>
  <c r="U53" i="47"/>
  <c r="V53" i="47"/>
  <c r="S53" i="47"/>
  <c r="R53" i="47"/>
  <c r="U52" i="47"/>
  <c r="V52" i="47"/>
  <c r="T52" i="47"/>
  <c r="V45" i="47"/>
  <c r="U45" i="47"/>
  <c r="T45" i="47"/>
  <c r="S33" i="47"/>
  <c r="T33" i="47"/>
  <c r="U33" i="47"/>
  <c r="V33" i="47"/>
  <c r="R33" i="47"/>
  <c r="V32" i="47"/>
  <c r="U32" i="47"/>
  <c r="T32" i="47"/>
  <c r="S32" i="47"/>
  <c r="R32" i="47"/>
  <c r="V27" i="47"/>
  <c r="V30" i="47"/>
  <c r="V31" i="47"/>
  <c r="U27" i="47"/>
  <c r="U30" i="47"/>
  <c r="U31" i="47"/>
  <c r="T27" i="47"/>
  <c r="T30" i="47"/>
  <c r="T31" i="47"/>
  <c r="V26" i="47"/>
  <c r="U26" i="47"/>
  <c r="T26" i="47"/>
  <c r="V23" i="47"/>
  <c r="U23" i="47"/>
  <c r="T23" i="47"/>
  <c r="S23" i="47"/>
  <c r="R23" i="47"/>
  <c r="V11" i="47"/>
  <c r="V13" i="47"/>
  <c r="V15" i="47"/>
  <c r="V16" i="47"/>
  <c r="V18" i="47"/>
  <c r="U11" i="47"/>
  <c r="U12" i="47"/>
  <c r="U13" i="47"/>
  <c r="U14" i="47"/>
  <c r="U15" i="47"/>
  <c r="U16" i="47"/>
  <c r="U17" i="47"/>
  <c r="V17" i="47" s="1"/>
  <c r="U18" i="47"/>
  <c r="U19" i="47"/>
  <c r="V19" i="47" s="1"/>
  <c r="U20" i="47"/>
  <c r="T11" i="47"/>
  <c r="T12" i="47"/>
  <c r="V12" i="47" s="1"/>
  <c r="T13" i="47"/>
  <c r="T14" i="47"/>
  <c r="V14" i="47" s="1"/>
  <c r="T15" i="47"/>
  <c r="T16" i="47"/>
  <c r="T17" i="47"/>
  <c r="T18" i="47"/>
  <c r="T19" i="47"/>
  <c r="T20" i="47"/>
  <c r="V20" i="47" s="1"/>
  <c r="V10" i="47"/>
  <c r="U10" i="47"/>
  <c r="T10" i="47"/>
  <c r="G53" i="47"/>
  <c r="H53" i="47"/>
  <c r="I53" i="47"/>
  <c r="J53" i="47"/>
  <c r="F53" i="47"/>
  <c r="J42" i="47"/>
  <c r="I42" i="47"/>
  <c r="H42" i="47"/>
  <c r="H52" i="47"/>
  <c r="J39" i="47"/>
  <c r="I39" i="47"/>
  <c r="H39" i="47"/>
  <c r="G33" i="47"/>
  <c r="H33" i="47"/>
  <c r="I33" i="47"/>
  <c r="F33" i="47"/>
  <c r="H32" i="47"/>
  <c r="H31" i="47"/>
  <c r="I31" i="47"/>
  <c r="J31" i="47"/>
  <c r="G32" i="47"/>
  <c r="F32" i="47"/>
  <c r="G31" i="47"/>
  <c r="F31" i="47"/>
  <c r="I29" i="47"/>
  <c r="H29" i="47"/>
  <c r="I28" i="47"/>
  <c r="H28" i="47"/>
  <c r="J12" i="47"/>
  <c r="J13" i="47"/>
  <c r="J16" i="47"/>
  <c r="J19" i="47"/>
  <c r="J23" i="47"/>
  <c r="J28" i="47"/>
  <c r="J29" i="47"/>
  <c r="I23" i="47"/>
  <c r="H23" i="47"/>
  <c r="I12" i="47"/>
  <c r="I13" i="47"/>
  <c r="I14" i="47"/>
  <c r="I32" i="47" s="1"/>
  <c r="I16" i="47"/>
  <c r="I19" i="47"/>
  <c r="H12" i="47"/>
  <c r="H13" i="47"/>
  <c r="H14" i="47"/>
  <c r="H16" i="47"/>
  <c r="H19" i="47"/>
  <c r="J11" i="47"/>
  <c r="I11" i="47"/>
  <c r="H11" i="47"/>
  <c r="J14" i="47" l="1"/>
  <c r="J32" i="47" s="1"/>
  <c r="J33" i="47" s="1"/>
  <c r="G54" i="42"/>
  <c r="H54" i="42"/>
  <c r="I54" i="42"/>
  <c r="J54" i="42"/>
  <c r="F54" i="42"/>
  <c r="J53" i="42"/>
  <c r="I53" i="42"/>
  <c r="H53" i="42"/>
  <c r="G53" i="42"/>
  <c r="F53" i="42"/>
  <c r="G49" i="42"/>
  <c r="H49" i="42"/>
  <c r="I49" i="42"/>
  <c r="J49" i="42"/>
  <c r="F49" i="42"/>
  <c r="G48" i="42"/>
  <c r="H48" i="42"/>
  <c r="I48" i="42"/>
  <c r="J48" i="42"/>
  <c r="F48" i="42"/>
  <c r="P54" i="42"/>
  <c r="Q54" i="42"/>
  <c r="R54" i="42"/>
  <c r="S54" i="42"/>
  <c r="O54" i="42"/>
  <c r="P34" i="42"/>
  <c r="Q34" i="42"/>
  <c r="R34" i="42"/>
  <c r="S34" i="42"/>
  <c r="O34" i="42"/>
  <c r="S33" i="42"/>
  <c r="R33" i="42"/>
  <c r="Q33" i="42"/>
  <c r="S27" i="42"/>
  <c r="R27" i="42"/>
  <c r="Q27" i="42"/>
  <c r="S24" i="42"/>
  <c r="R24" i="42"/>
  <c r="Q24" i="42"/>
  <c r="P24" i="42"/>
  <c r="S12" i="42"/>
  <c r="R13" i="42"/>
  <c r="R14" i="42"/>
  <c r="Q13" i="42"/>
  <c r="S13" i="42" s="1"/>
  <c r="Q14" i="42"/>
  <c r="S14" i="42" s="1"/>
  <c r="R12" i="42"/>
  <c r="Q12" i="42"/>
  <c r="G34" i="42"/>
  <c r="H34" i="42"/>
  <c r="I34" i="42"/>
  <c r="J34" i="42"/>
  <c r="F34" i="42"/>
  <c r="F32" i="42"/>
  <c r="H32" i="42" s="1"/>
  <c r="G32" i="42"/>
  <c r="J20" i="42"/>
  <c r="I20" i="42"/>
  <c r="I32" i="42"/>
  <c r="H20" i="42"/>
  <c r="J14" i="42"/>
  <c r="I14" i="42"/>
  <c r="H14" i="42"/>
  <c r="G54" i="64"/>
  <c r="H54" i="64"/>
  <c r="I54" i="64"/>
  <c r="J54" i="64"/>
  <c r="F54" i="64"/>
  <c r="I53" i="64"/>
  <c r="J53" i="64"/>
  <c r="H53" i="64"/>
  <c r="G53" i="64"/>
  <c r="F53" i="64"/>
  <c r="G49" i="64"/>
  <c r="H49" i="64"/>
  <c r="I49" i="64"/>
  <c r="J49" i="64"/>
  <c r="F49" i="64"/>
  <c r="G48" i="64"/>
  <c r="H48" i="64"/>
  <c r="I48" i="64"/>
  <c r="J48" i="64"/>
  <c r="F48" i="64"/>
  <c r="P54" i="64"/>
  <c r="Q54" i="64"/>
  <c r="R54" i="64"/>
  <c r="S54" i="64"/>
  <c r="O54" i="64"/>
  <c r="P34" i="64"/>
  <c r="Q34" i="64"/>
  <c r="R34" i="64"/>
  <c r="S34" i="64"/>
  <c r="O34" i="64"/>
  <c r="R33" i="64"/>
  <c r="P33" i="64"/>
  <c r="S27" i="64"/>
  <c r="S33" i="64" s="1"/>
  <c r="R27" i="64"/>
  <c r="Q27" i="64"/>
  <c r="Q33" i="64" s="1"/>
  <c r="S24" i="64"/>
  <c r="R24" i="64"/>
  <c r="Q24" i="64"/>
  <c r="P24" i="64"/>
  <c r="Q13" i="64"/>
  <c r="S13" i="64" s="1"/>
  <c r="R13" i="64"/>
  <c r="R14" i="64"/>
  <c r="Q14" i="64"/>
  <c r="S14" i="64" s="1"/>
  <c r="R12" i="64"/>
  <c r="Q12" i="64"/>
  <c r="S12" i="64" s="1"/>
  <c r="I34" i="64"/>
  <c r="J34" i="64"/>
  <c r="H34" i="64"/>
  <c r="J32" i="64"/>
  <c r="I32" i="64"/>
  <c r="H32" i="64"/>
  <c r="J20" i="64"/>
  <c r="I20" i="64"/>
  <c r="H20" i="64"/>
  <c r="H54" i="44"/>
  <c r="I54" i="44"/>
  <c r="J54" i="44"/>
  <c r="J53" i="44"/>
  <c r="I53" i="44"/>
  <c r="H53" i="44"/>
  <c r="G49" i="44"/>
  <c r="G53" i="44" s="1"/>
  <c r="G54" i="44" s="1"/>
  <c r="H49" i="44"/>
  <c r="I49" i="44"/>
  <c r="J49" i="44"/>
  <c r="F49" i="44"/>
  <c r="F53" i="44" s="1"/>
  <c r="F54" i="44" s="1"/>
  <c r="G48" i="44"/>
  <c r="H48" i="44"/>
  <c r="I48" i="44"/>
  <c r="J48" i="44"/>
  <c r="F48" i="44"/>
  <c r="P54" i="44"/>
  <c r="Q54" i="44"/>
  <c r="R54" i="44"/>
  <c r="S54" i="44"/>
  <c r="S53" i="44"/>
  <c r="R53" i="44"/>
  <c r="Q53" i="44"/>
  <c r="P34" i="44"/>
  <c r="Q34" i="44"/>
  <c r="R34" i="44"/>
  <c r="S34" i="44"/>
  <c r="O34" i="44"/>
  <c r="O54" i="44" s="1"/>
  <c r="S33" i="44"/>
  <c r="R33" i="44"/>
  <c r="Q33" i="44"/>
  <c r="S27" i="44"/>
  <c r="R27" i="44"/>
  <c r="Q27" i="44"/>
  <c r="S24" i="44"/>
  <c r="R24" i="44"/>
  <c r="Q24" i="44"/>
  <c r="P24" i="44"/>
  <c r="O24" i="44"/>
  <c r="S13" i="44"/>
  <c r="S14" i="44"/>
  <c r="S12" i="44"/>
  <c r="R13" i="44"/>
  <c r="R14" i="44"/>
  <c r="R12" i="44"/>
  <c r="Q13" i="44"/>
  <c r="Q14" i="44"/>
  <c r="Q12" i="44"/>
  <c r="J34" i="44"/>
  <c r="I34" i="44"/>
  <c r="H34" i="44"/>
  <c r="G34" i="44"/>
  <c r="F34" i="44"/>
  <c r="J32" i="44"/>
  <c r="I32" i="44"/>
  <c r="H32" i="44"/>
  <c r="F32" i="44"/>
  <c r="H15" i="44"/>
  <c r="J15" i="44" s="1"/>
  <c r="G32" i="44"/>
  <c r="I15" i="44"/>
  <c r="I20" i="44"/>
  <c r="H20" i="44"/>
  <c r="J20" i="44" s="1"/>
  <c r="I14" i="44"/>
  <c r="H14" i="44"/>
  <c r="J14" i="44" s="1"/>
  <c r="Q54" i="45"/>
  <c r="R54" i="45"/>
  <c r="S54" i="45"/>
  <c r="T54" i="45"/>
  <c r="P54" i="45"/>
  <c r="I54" i="45"/>
  <c r="J54" i="45"/>
  <c r="K54" i="45"/>
  <c r="K53" i="45"/>
  <c r="J53" i="45"/>
  <c r="I53" i="45"/>
  <c r="H53" i="45"/>
  <c r="H54" i="45" s="1"/>
  <c r="G53" i="45"/>
  <c r="G54" i="45" s="1"/>
  <c r="I49" i="45"/>
  <c r="J49" i="45"/>
  <c r="K49" i="45"/>
  <c r="I48" i="45"/>
  <c r="J48" i="45"/>
  <c r="K48" i="45"/>
  <c r="G48" i="45"/>
  <c r="Q34" i="45"/>
  <c r="R34" i="45"/>
  <c r="S34" i="45"/>
  <c r="T34" i="45"/>
  <c r="P34" i="45"/>
  <c r="T33" i="45"/>
  <c r="S33" i="45"/>
  <c r="R33" i="45"/>
  <c r="T27" i="45"/>
  <c r="S27" i="45"/>
  <c r="R27" i="45"/>
  <c r="R24" i="45"/>
  <c r="T13" i="45"/>
  <c r="T14" i="45"/>
  <c r="T16" i="45"/>
  <c r="S13" i="45"/>
  <c r="S14" i="45"/>
  <c r="S16" i="45"/>
  <c r="R13" i="45"/>
  <c r="R14" i="45"/>
  <c r="R16" i="45"/>
  <c r="T12" i="45"/>
  <c r="S12" i="45"/>
  <c r="R12" i="45"/>
  <c r="P24" i="45"/>
  <c r="H34" i="45"/>
  <c r="I34" i="45"/>
  <c r="J34" i="45"/>
  <c r="K34" i="45"/>
  <c r="G34" i="45"/>
  <c r="J32" i="45"/>
  <c r="K32" i="45"/>
  <c r="I32" i="45"/>
  <c r="H32" i="45"/>
  <c r="G32" i="45"/>
  <c r="K20" i="45"/>
  <c r="J20" i="45"/>
  <c r="I20" i="45"/>
  <c r="K14" i="45"/>
  <c r="J14" i="45"/>
  <c r="I14" i="45"/>
  <c r="S53" i="46"/>
  <c r="R53" i="46"/>
  <c r="S52" i="46"/>
  <c r="R52" i="46"/>
  <c r="V46" i="46"/>
  <c r="V45" i="46"/>
  <c r="U45" i="46"/>
  <c r="T45" i="46"/>
  <c r="S33" i="46"/>
  <c r="R33" i="46"/>
  <c r="U32" i="46"/>
  <c r="T32" i="46"/>
  <c r="S32" i="46"/>
  <c r="R32" i="46"/>
  <c r="V27" i="46"/>
  <c r="V29" i="46"/>
  <c r="V30" i="46"/>
  <c r="U27" i="46"/>
  <c r="U29" i="46"/>
  <c r="U30" i="46"/>
  <c r="U31" i="46"/>
  <c r="T27" i="46"/>
  <c r="T29" i="46"/>
  <c r="T30" i="46"/>
  <c r="T31" i="46"/>
  <c r="V31" i="46" s="1"/>
  <c r="V26" i="46"/>
  <c r="U26" i="46"/>
  <c r="T26" i="46"/>
  <c r="S23" i="46"/>
  <c r="R23" i="46"/>
  <c r="V13" i="46"/>
  <c r="V18" i="46"/>
  <c r="V19" i="46"/>
  <c r="U11" i="46"/>
  <c r="U12" i="46"/>
  <c r="U13" i="46"/>
  <c r="U14" i="46"/>
  <c r="U16" i="46"/>
  <c r="U17" i="46"/>
  <c r="U18" i="46"/>
  <c r="U19" i="46"/>
  <c r="U20" i="46"/>
  <c r="T11" i="46"/>
  <c r="T12" i="46"/>
  <c r="T13" i="46"/>
  <c r="T14" i="46"/>
  <c r="T16" i="46"/>
  <c r="T17" i="46"/>
  <c r="T18" i="46"/>
  <c r="T19" i="46"/>
  <c r="T20" i="46"/>
  <c r="V20" i="46" s="1"/>
  <c r="V10" i="46"/>
  <c r="U10" i="46"/>
  <c r="T10" i="46"/>
  <c r="I53" i="46"/>
  <c r="J53" i="46"/>
  <c r="H53" i="46"/>
  <c r="G53" i="46"/>
  <c r="F53" i="46"/>
  <c r="H42" i="46"/>
  <c r="J42" i="46" s="1"/>
  <c r="H52" i="46"/>
  <c r="J52" i="46" s="1"/>
  <c r="I42" i="46"/>
  <c r="I52" i="46"/>
  <c r="I39" i="46"/>
  <c r="H39" i="46"/>
  <c r="J39" i="46" s="1"/>
  <c r="G33" i="46"/>
  <c r="H33" i="46"/>
  <c r="I33" i="46"/>
  <c r="J33" i="46"/>
  <c r="F33" i="46"/>
  <c r="G32" i="46"/>
  <c r="H32" i="46"/>
  <c r="I32" i="46"/>
  <c r="J32" i="46"/>
  <c r="F32" i="46"/>
  <c r="G31" i="46"/>
  <c r="H31" i="46"/>
  <c r="I31" i="46"/>
  <c r="J31" i="46"/>
  <c r="F31" i="46"/>
  <c r="J12" i="46"/>
  <c r="J13" i="46"/>
  <c r="J14" i="46"/>
  <c r="J15" i="46"/>
  <c r="J17" i="46"/>
  <c r="J18" i="46"/>
  <c r="J20" i="46"/>
  <c r="J21" i="46"/>
  <c r="J22" i="46"/>
  <c r="J26" i="46"/>
  <c r="J27" i="46"/>
  <c r="J29" i="46"/>
  <c r="I12" i="46"/>
  <c r="I13" i="46"/>
  <c r="I14" i="46"/>
  <c r="I15" i="46"/>
  <c r="I16" i="46"/>
  <c r="I17" i="46"/>
  <c r="I18" i="46"/>
  <c r="I19" i="46"/>
  <c r="J19" i="46" s="1"/>
  <c r="I20" i="46"/>
  <c r="I21" i="46"/>
  <c r="I22" i="46"/>
  <c r="I23" i="46"/>
  <c r="I24" i="46"/>
  <c r="I25" i="46"/>
  <c r="I26" i="46"/>
  <c r="I27" i="46"/>
  <c r="I28" i="46"/>
  <c r="I29" i="46"/>
  <c r="H12" i="46"/>
  <c r="H13" i="46"/>
  <c r="H14" i="46"/>
  <c r="H15" i="46"/>
  <c r="H16" i="46"/>
  <c r="H17" i="46"/>
  <c r="H18" i="46"/>
  <c r="H19" i="46"/>
  <c r="J24" i="46"/>
  <c r="J25" i="46"/>
  <c r="J11" i="46"/>
  <c r="I11" i="46"/>
  <c r="H11" i="46"/>
  <c r="V32" i="46" l="1"/>
  <c r="J32" i="42"/>
  <c r="V17" i="46"/>
  <c r="V16" i="46"/>
  <c r="V14" i="46"/>
  <c r="U23" i="46"/>
  <c r="U33" i="46" s="1"/>
  <c r="I35" i="46" s="1"/>
  <c r="V12" i="46"/>
  <c r="T23" i="46"/>
  <c r="T33" i="46" s="1"/>
  <c r="H35" i="46" s="1"/>
  <c r="V11" i="46"/>
  <c r="J28" i="46"/>
  <c r="J23" i="46"/>
  <c r="J16" i="46"/>
  <c r="D74" i="5"/>
  <c r="E74" i="5"/>
  <c r="C74" i="5"/>
  <c r="D71" i="5"/>
  <c r="E71" i="5"/>
  <c r="C71" i="5"/>
  <c r="D52" i="5"/>
  <c r="E52" i="5"/>
  <c r="C52" i="5"/>
  <c r="D51" i="5"/>
  <c r="E51" i="5"/>
  <c r="C51" i="5"/>
  <c r="V33" i="46" l="1"/>
  <c r="J35" i="46" s="1"/>
  <c r="V23" i="46"/>
  <c r="H75" i="66"/>
  <c r="G75" i="66"/>
  <c r="F75" i="66"/>
  <c r="E75" i="66"/>
  <c r="A57" i="66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45" i="66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22" i="66"/>
  <c r="H15" i="55" l="1"/>
  <c r="D15" i="55"/>
  <c r="C15" i="55"/>
  <c r="U92" i="68" l="1"/>
  <c r="P92" i="68"/>
  <c r="M92" i="68"/>
  <c r="R92" i="68"/>
  <c r="W92" i="68" s="1"/>
  <c r="P93" i="68" l="1"/>
  <c r="L93" i="68"/>
  <c r="W93" i="68"/>
  <c r="C42" i="47" l="1"/>
  <c r="F50" i="7"/>
  <c r="AP40" i="15"/>
  <c r="B40" i="15"/>
  <c r="B41" i="15"/>
  <c r="B42" i="15"/>
  <c r="B43" i="15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AP39" i="15"/>
  <c r="J41" i="8"/>
  <c r="M41" i="8" s="1"/>
  <c r="J24" i="8"/>
  <c r="M24" i="8" s="1"/>
  <c r="C19" i="10"/>
  <c r="E17" i="10"/>
  <c r="AP46" i="15" l="1"/>
  <c r="M14" i="64" l="1"/>
  <c r="M13" i="64"/>
  <c r="M12" i="64"/>
  <c r="D20" i="64"/>
  <c r="C20" i="64"/>
  <c r="M45" i="46" l="1"/>
  <c r="L45" i="46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Q45" i="67"/>
  <c r="P45" i="67"/>
  <c r="I45" i="67"/>
  <c r="I44" i="67"/>
  <c r="E44" i="67"/>
  <c r="I43" i="67"/>
  <c r="I42" i="67"/>
  <c r="E42" i="67"/>
  <c r="I41" i="67"/>
  <c r="E41" i="67"/>
  <c r="I40" i="67"/>
  <c r="K53" i="67" s="1"/>
  <c r="E40" i="67"/>
  <c r="E34" i="67"/>
  <c r="I32" i="67"/>
  <c r="I34" i="67" s="1"/>
  <c r="E32" i="67"/>
  <c r="I31" i="67"/>
  <c r="I28" i="67"/>
  <c r="E28" i="67"/>
  <c r="I26" i="67"/>
  <c r="E26" i="67"/>
  <c r="I25" i="67"/>
  <c r="I22" i="67"/>
  <c r="I19" i="67"/>
  <c r="I16" i="67"/>
  <c r="I12" i="67"/>
  <c r="E12" i="67"/>
  <c r="E97" i="67" s="1"/>
  <c r="K35" i="67" l="1"/>
  <c r="K97" i="67"/>
  <c r="L45" i="67"/>
  <c r="F97" i="67"/>
  <c r="M96" i="8"/>
  <c r="G96" i="8"/>
  <c r="D96" i="8"/>
  <c r="P38" i="15"/>
  <c r="D42" i="8"/>
  <c r="J42" i="8" s="1"/>
  <c r="M42" i="8" s="1"/>
  <c r="M59" i="15"/>
  <c r="G59" i="15"/>
  <c r="F49" i="7" l="1"/>
  <c r="F48" i="7" l="1"/>
  <c r="E42" i="24" l="1"/>
  <c r="F42" i="24"/>
  <c r="G42" i="24"/>
  <c r="H42" i="24"/>
  <c r="I42" i="24"/>
  <c r="J42" i="24"/>
  <c r="K42" i="24"/>
  <c r="L42" i="24"/>
  <c r="M42" i="24"/>
  <c r="N42" i="24"/>
  <c r="D42" i="24"/>
  <c r="S30" i="68" l="1"/>
  <c r="P99" i="68"/>
  <c r="R99" i="68" s="1"/>
  <c r="U10" i="68"/>
  <c r="P39" i="68"/>
  <c r="L40" i="68"/>
  <c r="U39" i="68"/>
  <c r="M30" i="68"/>
  <c r="M23" i="68"/>
  <c r="M22" i="68"/>
  <c r="M21" i="68"/>
  <c r="M20" i="68"/>
  <c r="M19" i="68"/>
  <c r="M18" i="68"/>
  <c r="M17" i="68"/>
  <c r="M16" i="68"/>
  <c r="E12" i="68"/>
  <c r="M24" i="68" l="1"/>
  <c r="J68" i="8"/>
  <c r="P68" i="8" s="1"/>
  <c r="E42" i="46"/>
  <c r="E21" i="7" l="1"/>
  <c r="D21" i="7"/>
  <c r="F20" i="7"/>
  <c r="C29" i="10" l="1"/>
  <c r="D32" i="10" l="1"/>
  <c r="C32" i="10"/>
  <c r="C15" i="10"/>
  <c r="P59" i="15"/>
  <c r="J82" i="8"/>
  <c r="P82" i="8" s="1"/>
  <c r="D56" i="8" l="1"/>
  <c r="J54" i="8"/>
  <c r="P54" i="8" s="1"/>
  <c r="P56" i="8" s="1"/>
  <c r="J22" i="8" l="1"/>
  <c r="D24" i="47" l="1"/>
  <c r="E24" i="47"/>
  <c r="C24" i="47"/>
  <c r="C33" i="42"/>
  <c r="E45" i="5" l="1"/>
  <c r="C45" i="5"/>
  <c r="C72" i="5" s="1"/>
  <c r="D45" i="5"/>
  <c r="D11" i="5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G48" i="15" l="1"/>
  <c r="M48" i="15" s="1"/>
  <c r="S33" i="15"/>
  <c r="G98" i="8"/>
  <c r="N13" i="44"/>
  <c r="J112" i="8" l="1"/>
  <c r="M33" i="15" l="1"/>
  <c r="G33" i="15"/>
  <c r="N13" i="64" l="1"/>
  <c r="J114" i="8"/>
  <c r="M120" i="8"/>
  <c r="J119" i="8"/>
  <c r="J120" i="8" s="1"/>
  <c r="G120" i="8"/>
  <c r="D120" i="8"/>
  <c r="D106" i="68" l="1"/>
  <c r="V104" i="68"/>
  <c r="Q104" i="68"/>
  <c r="K104" i="68"/>
  <c r="K106" i="68" s="1"/>
  <c r="J104" i="68"/>
  <c r="J106" i="68" s="1"/>
  <c r="I104" i="68"/>
  <c r="H104" i="68"/>
  <c r="H106" i="68" s="1"/>
  <c r="E104" i="68"/>
  <c r="C104" i="68"/>
  <c r="C106" i="68" s="1"/>
  <c r="T101" i="68"/>
  <c r="S101" i="68"/>
  <c r="O101" i="68"/>
  <c r="L101" i="68"/>
  <c r="M101" i="68" s="1"/>
  <c r="W100" i="68"/>
  <c r="U100" i="68"/>
  <c r="M100" i="68"/>
  <c r="W99" i="68"/>
  <c r="U99" i="68"/>
  <c r="M99" i="68"/>
  <c r="P98" i="68"/>
  <c r="U98" i="68" s="1"/>
  <c r="M98" i="68"/>
  <c r="R98" i="68" s="1"/>
  <c r="W98" i="68" s="1"/>
  <c r="T93" i="68"/>
  <c r="S93" i="68"/>
  <c r="O93" i="68"/>
  <c r="N93" i="68"/>
  <c r="M93" i="68"/>
  <c r="R93" i="68" s="1"/>
  <c r="U91" i="68"/>
  <c r="M91" i="68"/>
  <c r="R91" i="68" s="1"/>
  <c r="W91" i="68" s="1"/>
  <c r="U90" i="68"/>
  <c r="M90" i="68"/>
  <c r="R90" i="68" s="1"/>
  <c r="W90" i="68" s="1"/>
  <c r="U89" i="68"/>
  <c r="M89" i="68"/>
  <c r="R89" i="68" s="1"/>
  <c r="W89" i="68" s="1"/>
  <c r="U87" i="68"/>
  <c r="M87" i="68"/>
  <c r="R87" i="68" s="1"/>
  <c r="W87" i="68" s="1"/>
  <c r="U86" i="68"/>
  <c r="M86" i="68"/>
  <c r="R86" i="68" s="1"/>
  <c r="W86" i="68" s="1"/>
  <c r="U85" i="68"/>
  <c r="M85" i="68"/>
  <c r="R85" i="68" s="1"/>
  <c r="W85" i="68" s="1"/>
  <c r="U84" i="68"/>
  <c r="M84" i="68"/>
  <c r="R84" i="68" s="1"/>
  <c r="W84" i="68" s="1"/>
  <c r="U83" i="68"/>
  <c r="M83" i="68"/>
  <c r="R83" i="68" s="1"/>
  <c r="W83" i="68" s="1"/>
  <c r="U82" i="68"/>
  <c r="M82" i="68"/>
  <c r="R82" i="68" s="1"/>
  <c r="W82" i="68" s="1"/>
  <c r="U81" i="68"/>
  <c r="M81" i="68"/>
  <c r="R81" i="68" s="1"/>
  <c r="W81" i="68" s="1"/>
  <c r="U80" i="68"/>
  <c r="M80" i="68"/>
  <c r="R80" i="68" s="1"/>
  <c r="W80" i="68" s="1"/>
  <c r="U78" i="68"/>
  <c r="M78" i="68"/>
  <c r="R78" i="68" s="1"/>
  <c r="W78" i="68" s="1"/>
  <c r="U77" i="68"/>
  <c r="M77" i="68"/>
  <c r="R77" i="68" s="1"/>
  <c r="W77" i="68" s="1"/>
  <c r="U76" i="68"/>
  <c r="M76" i="68"/>
  <c r="R76" i="68" s="1"/>
  <c r="W76" i="68" s="1"/>
  <c r="U75" i="68"/>
  <c r="M75" i="68"/>
  <c r="R75" i="68" s="1"/>
  <c r="W75" i="68" s="1"/>
  <c r="U74" i="68"/>
  <c r="M74" i="68"/>
  <c r="R74" i="68" s="1"/>
  <c r="W74" i="68" s="1"/>
  <c r="U73" i="68"/>
  <c r="M73" i="68"/>
  <c r="R73" i="68" s="1"/>
  <c r="W73" i="68" s="1"/>
  <c r="U72" i="68"/>
  <c r="M72" i="68"/>
  <c r="R72" i="68" s="1"/>
  <c r="W72" i="68" s="1"/>
  <c r="U71" i="68"/>
  <c r="M71" i="68"/>
  <c r="R71" i="68" s="1"/>
  <c r="W71" i="68" s="1"/>
  <c r="U70" i="68"/>
  <c r="M70" i="68"/>
  <c r="R70" i="68" s="1"/>
  <c r="W70" i="68" s="1"/>
  <c r="M41" i="68"/>
  <c r="O40" i="68"/>
  <c r="T40" i="68" s="1"/>
  <c r="N40" i="68"/>
  <c r="M39" i="68"/>
  <c r="W39" i="68" s="1"/>
  <c r="U38" i="68"/>
  <c r="M38" i="68"/>
  <c r="R38" i="68" s="1"/>
  <c r="U37" i="68"/>
  <c r="M37" i="68"/>
  <c r="R37" i="68" s="1"/>
  <c r="U36" i="68"/>
  <c r="M36" i="68"/>
  <c r="R36" i="68" s="1"/>
  <c r="U35" i="68"/>
  <c r="M35" i="68"/>
  <c r="R35" i="68" s="1"/>
  <c r="U34" i="68"/>
  <c r="P34" i="68"/>
  <c r="M34" i="68"/>
  <c r="W34" i="68" s="1"/>
  <c r="U33" i="68"/>
  <c r="M33" i="68"/>
  <c r="W33" i="68" s="1"/>
  <c r="U32" i="68"/>
  <c r="P32" i="68"/>
  <c r="M32" i="68"/>
  <c r="W32" i="68" s="1"/>
  <c r="U31" i="68"/>
  <c r="P31" i="68"/>
  <c r="M31" i="68"/>
  <c r="R31" i="68" s="1"/>
  <c r="U30" i="68"/>
  <c r="T30" i="68"/>
  <c r="W30" i="68"/>
  <c r="U29" i="68"/>
  <c r="P29" i="68"/>
  <c r="M29" i="68"/>
  <c r="W29" i="68" s="1"/>
  <c r="U28" i="68"/>
  <c r="P28" i="68"/>
  <c r="M28" i="68"/>
  <c r="L24" i="68"/>
  <c r="P24" i="68" s="1"/>
  <c r="U24" i="68" s="1"/>
  <c r="P23" i="68"/>
  <c r="U23" i="68" s="1"/>
  <c r="R23" i="68"/>
  <c r="W23" i="68" s="1"/>
  <c r="P22" i="68"/>
  <c r="R22" i="68"/>
  <c r="W22" i="68" s="1"/>
  <c r="P21" i="68"/>
  <c r="U21" i="68" s="1"/>
  <c r="R21" i="68"/>
  <c r="W21" i="68" s="1"/>
  <c r="P20" i="68"/>
  <c r="U20" i="68" s="1"/>
  <c r="R20" i="68"/>
  <c r="W20" i="68" s="1"/>
  <c r="P19" i="68"/>
  <c r="U19" i="68" s="1"/>
  <c r="R19" i="68"/>
  <c r="W19" i="68" s="1"/>
  <c r="P18" i="68"/>
  <c r="U18" i="68" s="1"/>
  <c r="R18" i="68"/>
  <c r="W18" i="68" s="1"/>
  <c r="P17" i="68"/>
  <c r="U17" i="68" s="1"/>
  <c r="R17" i="68"/>
  <c r="W17" i="68" s="1"/>
  <c r="P16" i="68"/>
  <c r="U16" i="68" s="1"/>
  <c r="R16" i="68"/>
  <c r="P12" i="68"/>
  <c r="U12" i="68" s="1"/>
  <c r="I12" i="68"/>
  <c r="V10" i="68"/>
  <c r="W10" i="68" s="1"/>
  <c r="R28" i="68" l="1"/>
  <c r="M40" i="68"/>
  <c r="P40" i="68"/>
  <c r="T104" i="68"/>
  <c r="T106" i="68" s="1"/>
  <c r="U93" i="68"/>
  <c r="N104" i="68"/>
  <c r="N106" i="68" s="1"/>
  <c r="W37" i="68"/>
  <c r="W31" i="68"/>
  <c r="R32" i="68"/>
  <c r="W38" i="68"/>
  <c r="O104" i="68"/>
  <c r="O106" i="68" s="1"/>
  <c r="I106" i="68"/>
  <c r="R30" i="68"/>
  <c r="U40" i="68"/>
  <c r="R29" i="68"/>
  <c r="W36" i="68"/>
  <c r="E106" i="68"/>
  <c r="Q106" i="68"/>
  <c r="V12" i="68"/>
  <c r="V106" i="68" s="1"/>
  <c r="L104" i="68"/>
  <c r="L106" i="68" s="1"/>
  <c r="P106" i="68" s="1"/>
  <c r="W35" i="68"/>
  <c r="R39" i="68"/>
  <c r="S40" i="68"/>
  <c r="S104" i="68" s="1"/>
  <c r="S106" i="68" s="1"/>
  <c r="P101" i="68"/>
  <c r="U101" i="68" s="1"/>
  <c r="W16" i="68"/>
  <c r="W24" i="68" s="1"/>
  <c r="R24" i="68"/>
  <c r="W28" i="68"/>
  <c r="R33" i="68"/>
  <c r="N41" i="68"/>
  <c r="R101" i="68"/>
  <c r="W101" i="68" s="1"/>
  <c r="R12" i="68"/>
  <c r="R34" i="68"/>
  <c r="W12" i="68" l="1"/>
  <c r="P104" i="68"/>
  <c r="U104" i="68"/>
  <c r="U106" i="68" s="1"/>
  <c r="W40" i="68"/>
  <c r="W104" i="68" s="1"/>
  <c r="R40" i="68"/>
  <c r="R104" i="68" s="1"/>
  <c r="R106" i="68" s="1"/>
  <c r="M104" i="68"/>
  <c r="M106" i="68" s="1"/>
  <c r="W106" i="68" l="1"/>
  <c r="C31" i="48"/>
  <c r="D11" i="47"/>
  <c r="D25" i="10"/>
  <c r="D19" i="46"/>
  <c r="D11" i="46"/>
  <c r="F52" i="7" l="1"/>
  <c r="P57" i="15"/>
  <c r="P56" i="15"/>
  <c r="S55" i="15"/>
  <c r="M55" i="15"/>
  <c r="G55" i="15"/>
  <c r="S52" i="15"/>
  <c r="S48" i="15"/>
  <c r="P47" i="15"/>
  <c r="G42" i="15"/>
  <c r="P34" i="15"/>
  <c r="P10" i="15"/>
  <c r="M14" i="45"/>
  <c r="C20" i="44"/>
  <c r="G104" i="8"/>
  <c r="M104" i="8"/>
  <c r="P104" i="8"/>
  <c r="D104" i="8"/>
  <c r="M99" i="8"/>
  <c r="G99" i="8"/>
  <c r="D99" i="8"/>
  <c r="J98" i="8"/>
  <c r="J53" i="8"/>
  <c r="J52" i="8"/>
  <c r="G50" i="8"/>
  <c r="J40" i="8"/>
  <c r="J31" i="8"/>
  <c r="M31" i="8" s="1"/>
  <c r="J30" i="8"/>
  <c r="M30" i="8" s="1"/>
  <c r="G26" i="8"/>
  <c r="D26" i="8"/>
  <c r="G23" i="8"/>
  <c r="G45" i="8" s="1"/>
  <c r="D23" i="8"/>
  <c r="D45" i="8" s="1"/>
  <c r="P115" i="8"/>
  <c r="G115" i="8"/>
  <c r="D115" i="8"/>
  <c r="M14" i="42"/>
  <c r="D27" i="6"/>
  <c r="E27" i="6"/>
  <c r="C38" i="5"/>
  <c r="D22" i="5"/>
  <c r="D38" i="5"/>
  <c r="C22" i="5"/>
  <c r="F11" i="14"/>
  <c r="E22" i="5" l="1"/>
  <c r="E38" i="5"/>
  <c r="J39" i="8"/>
  <c r="M39" i="8" s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E31" i="48" l="1"/>
  <c r="C34" i="48"/>
  <c r="D42" i="47"/>
  <c r="D34" i="48" s="1"/>
  <c r="C43" i="47"/>
  <c r="C35" i="48" s="1"/>
  <c r="D43" i="47"/>
  <c r="D35" i="48" s="1"/>
  <c r="D39" i="47"/>
  <c r="D30" i="49" s="1"/>
  <c r="C39" i="47"/>
  <c r="C30" i="49" s="1"/>
  <c r="D33" i="42"/>
  <c r="E43" i="42"/>
  <c r="E25" i="42"/>
  <c r="E33" i="42" s="1"/>
  <c r="N20" i="64"/>
  <c r="E44" i="64"/>
  <c r="E43" i="47" s="1"/>
  <c r="E35" i="48" s="1"/>
  <c r="E43" i="64"/>
  <c r="D30" i="48" l="1"/>
  <c r="C30" i="48"/>
  <c r="E39" i="46"/>
  <c r="E39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AP15" i="15"/>
  <c r="AP16" i="15"/>
  <c r="AP17" i="15"/>
  <c r="AP18" i="15"/>
  <c r="AP19" i="15"/>
  <c r="G63" i="15"/>
  <c r="J63" i="15"/>
  <c r="M63" i="15"/>
  <c r="P63" i="15"/>
  <c r="S63" i="15"/>
  <c r="AH63" i="15"/>
  <c r="AI63" i="15"/>
  <c r="D63" i="15"/>
  <c r="AP52" i="15"/>
  <c r="AP53" i="15"/>
  <c r="AP54" i="15"/>
  <c r="AP55" i="15"/>
  <c r="AP56" i="15"/>
  <c r="AP57" i="15"/>
  <c r="AP58" i="15"/>
  <c r="AP59" i="15"/>
  <c r="AP28" i="15"/>
  <c r="G84" i="8"/>
  <c r="D84" i="8"/>
  <c r="J79" i="8"/>
  <c r="M79" i="8" s="1"/>
  <c r="G74" i="8"/>
  <c r="D74" i="8"/>
  <c r="M74" i="8"/>
  <c r="J74" i="8"/>
  <c r="E30" i="48" l="1"/>
  <c r="E30" i="49"/>
  <c r="P74" i="8"/>
  <c r="J51" i="8" l="1"/>
  <c r="J38" i="8"/>
  <c r="M38" i="8" s="1"/>
  <c r="J36" i="8"/>
  <c r="P36" i="8" s="1"/>
  <c r="J23" i="8"/>
  <c r="D19" i="8"/>
  <c r="G19" i="8"/>
  <c r="D14" i="8"/>
  <c r="G14" i="8"/>
  <c r="E23" i="63"/>
  <c r="G23" i="63"/>
  <c r="H23" i="63"/>
  <c r="I23" i="63"/>
  <c r="J23" i="63"/>
  <c r="F23" i="63"/>
  <c r="G16" i="63"/>
  <c r="G17" i="63"/>
  <c r="G18" i="63"/>
  <c r="G19" i="63"/>
  <c r="G15" i="63"/>
  <c r="M51" i="8" l="1"/>
  <c r="M56" i="8" s="1"/>
  <c r="M23" i="8"/>
  <c r="E24" i="10"/>
  <c r="E16" i="10"/>
  <c r="F26" i="7"/>
  <c r="F47" i="7"/>
  <c r="F46" i="7"/>
  <c r="F29" i="7"/>
  <c r="F45" i="7"/>
  <c r="F44" i="7"/>
  <c r="F43" i="7"/>
  <c r="D34" i="5" l="1"/>
  <c r="C34" i="5"/>
  <c r="E28" i="47" l="1"/>
  <c r="E19" i="48" s="1"/>
  <c r="D19" i="48"/>
  <c r="D72" i="5"/>
  <c r="C28" i="47"/>
  <c r="C19" i="48" s="1"/>
  <c r="E72" i="5"/>
  <c r="C40" i="5"/>
  <c r="C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F15" i="14" l="1"/>
  <c r="F19" i="7" l="1"/>
  <c r="J81" i="8" l="1"/>
  <c r="P81" i="8" s="1"/>
  <c r="E26" i="5" l="1"/>
  <c r="J35" i="8"/>
  <c r="G109" i="8"/>
  <c r="D109" i="8"/>
  <c r="M109" i="8"/>
  <c r="L27" i="64" s="1"/>
  <c r="M35" i="8" l="1"/>
  <c r="P14" i="8"/>
  <c r="AP51" i="15"/>
  <c r="J67" i="8" l="1"/>
  <c r="M67" i="8" s="1"/>
  <c r="J17" i="8"/>
  <c r="M17" i="8" s="1"/>
  <c r="J34" i="8" l="1"/>
  <c r="M34" i="8" s="1"/>
  <c r="J33" i="8"/>
  <c r="M33" i="8" s="1"/>
  <c r="M112" i="8" l="1"/>
  <c r="M115" i="8" l="1"/>
  <c r="L20" i="46"/>
  <c r="F42" i="7" l="1"/>
  <c r="F41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O18" i="47" l="1"/>
  <c r="P18" i="47"/>
  <c r="Q18" i="47"/>
  <c r="G13" i="18"/>
  <c r="E12" i="18"/>
  <c r="F17" i="18"/>
  <c r="AM22" i="15"/>
  <c r="AM20" i="15"/>
  <c r="G27" i="63"/>
  <c r="F31" i="63"/>
  <c r="E31" i="63"/>
  <c r="F28" i="63"/>
  <c r="G22" i="63"/>
  <c r="F32" i="63" l="1"/>
  <c r="E28" i="63"/>
  <c r="AJ25" i="15"/>
  <c r="G13" i="63" l="1"/>
  <c r="G20" i="63"/>
  <c r="G26" i="63"/>
  <c r="G28" i="63" s="1"/>
  <c r="E32" i="63"/>
  <c r="C19" i="54" l="1"/>
  <c r="L10" i="46"/>
  <c r="L10" i="47" s="1"/>
  <c r="L11" i="46"/>
  <c r="M11" i="46"/>
  <c r="M12" i="46"/>
  <c r="L18" i="46"/>
  <c r="M18" i="46"/>
  <c r="L12" i="46"/>
  <c r="L12" i="47" s="1"/>
  <c r="AP13" i="15"/>
  <c r="AP10" i="15"/>
  <c r="AP11" i="15"/>
  <c r="AP12" i="15"/>
  <c r="AP25" i="15"/>
  <c r="AP49" i="15"/>
  <c r="J32" i="8"/>
  <c r="M32" i="8" s="1"/>
  <c r="J29" i="8"/>
  <c r="M29" i="8" s="1"/>
  <c r="J25" i="8"/>
  <c r="J26" i="8"/>
  <c r="M26" i="8" s="1"/>
  <c r="J27" i="8"/>
  <c r="M27" i="8" s="1"/>
  <c r="J28" i="8"/>
  <c r="P28" i="8" s="1"/>
  <c r="P45" i="8" s="1"/>
  <c r="P19" i="8"/>
  <c r="J14" i="8"/>
  <c r="J80" i="8"/>
  <c r="P80" i="8" s="1"/>
  <c r="P84" i="8" s="1"/>
  <c r="D26" i="10"/>
  <c r="D33" i="10" s="1"/>
  <c r="E29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N14" i="44"/>
  <c r="D20" i="44"/>
  <c r="N14" i="64"/>
  <c r="N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L27" i="44"/>
  <c r="L33" i="44" s="1"/>
  <c r="C49" i="44" s="1"/>
  <c r="L33" i="64"/>
  <c r="E20" i="42"/>
  <c r="C11" i="5"/>
  <c r="E11" i="5" s="1"/>
  <c r="M27" i="45"/>
  <c r="M33" i="45" s="1"/>
  <c r="D49" i="45" s="1"/>
  <c r="N53" i="64"/>
  <c r="M53" i="64"/>
  <c r="L53" i="64"/>
  <c r="D32" i="64"/>
  <c r="D34" i="64" s="1"/>
  <c r="C32" i="64"/>
  <c r="C34" i="64" s="1"/>
  <c r="L24" i="64"/>
  <c r="E20" i="64"/>
  <c r="E18" i="64"/>
  <c r="E16" i="64"/>
  <c r="E14" i="64"/>
  <c r="E13" i="64"/>
  <c r="N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P30" i="47"/>
  <c r="H27" i="51"/>
  <c r="H33" i="51" s="1"/>
  <c r="D15" i="49"/>
  <c r="C12" i="47"/>
  <c r="L14" i="49"/>
  <c r="C49" i="47"/>
  <c r="C42" i="48" s="1"/>
  <c r="F29" i="13"/>
  <c r="M14" i="49"/>
  <c r="D49" i="47"/>
  <c r="D42" i="48" s="1"/>
  <c r="O52" i="46"/>
  <c r="E40" i="24"/>
  <c r="E43" i="24" s="1"/>
  <c r="D40" i="24"/>
  <c r="O11" i="47"/>
  <c r="P11" i="47"/>
  <c r="O10" i="47"/>
  <c r="O12" i="47"/>
  <c r="P52" i="46"/>
  <c r="O23" i="46"/>
  <c r="O33" i="46" s="1"/>
  <c r="O53" i="46" s="1"/>
  <c r="P23" i="46"/>
  <c r="P33" i="46"/>
  <c r="P53" i="46" s="1"/>
  <c r="Q23" i="46"/>
  <c r="Q33" i="46" s="1"/>
  <c r="Q53" i="46" s="1"/>
  <c r="P12" i="47"/>
  <c r="O30" i="47"/>
  <c r="O16" i="47"/>
  <c r="L45" i="47"/>
  <c r="L52" i="47" s="1"/>
  <c r="M45" i="47"/>
  <c r="M52" i="47" s="1"/>
  <c r="L19" i="48"/>
  <c r="L31" i="46"/>
  <c r="AM24" i="15"/>
  <c r="AM21" i="15"/>
  <c r="AP21" i="15" s="1"/>
  <c r="AP20" i="15"/>
  <c r="AM14" i="15"/>
  <c r="AJ24" i="15"/>
  <c r="AJ63" i="15" s="1"/>
  <c r="AM23" i="15"/>
  <c r="AP23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M16" i="45" s="1"/>
  <c r="F13" i="18"/>
  <c r="F26" i="14"/>
  <c r="F18" i="7"/>
  <c r="AP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5" i="5"/>
  <c r="E36" i="5"/>
  <c r="E24" i="5"/>
  <c r="G65" i="8"/>
  <c r="J65" i="8" s="1"/>
  <c r="G49" i="8"/>
  <c r="G56" i="8" s="1"/>
  <c r="E22" i="10"/>
  <c r="F28" i="7"/>
  <c r="F27" i="7"/>
  <c r="M20" i="46"/>
  <c r="M20" i="47" s="1"/>
  <c r="M20" i="48" s="1"/>
  <c r="J88" i="8"/>
  <c r="P88" i="8" s="1"/>
  <c r="M10" i="46"/>
  <c r="M10" i="47" s="1"/>
  <c r="M10" i="48" s="1"/>
  <c r="E13" i="14"/>
  <c r="C14" i="49"/>
  <c r="F13" i="6"/>
  <c r="F13" i="7"/>
  <c r="F14" i="7"/>
  <c r="K24" i="13"/>
  <c r="H23" i="13"/>
  <c r="K23" i="13" s="1"/>
  <c r="G22" i="13"/>
  <c r="K22" i="13" s="1"/>
  <c r="G19" i="13"/>
  <c r="K19" i="13" s="1"/>
  <c r="D19" i="10"/>
  <c r="J66" i="8"/>
  <c r="P66" i="8" s="1"/>
  <c r="M70" i="8"/>
  <c r="J113" i="8"/>
  <c r="J115" i="8" s="1"/>
  <c r="M27" i="42"/>
  <c r="M33" i="42" s="1"/>
  <c r="D49" i="42" s="1"/>
  <c r="F40" i="7"/>
  <c r="F39" i="7"/>
  <c r="G39" i="6"/>
  <c r="H39" i="6"/>
  <c r="I39" i="6"/>
  <c r="E21" i="6"/>
  <c r="D25" i="47" s="1"/>
  <c r="D16" i="49" s="1"/>
  <c r="D21" i="6"/>
  <c r="F21" i="6"/>
  <c r="F14" i="6"/>
  <c r="E20" i="5"/>
  <c r="AP48" i="15"/>
  <c r="AP45" i="15"/>
  <c r="AP41" i="15"/>
  <c r="AP38" i="15"/>
  <c r="AP33" i="15"/>
  <c r="AP32" i="15"/>
  <c r="AP29" i="15"/>
  <c r="AP30" i="15"/>
  <c r="AP26" i="15"/>
  <c r="AP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N45" i="46"/>
  <c r="N45" i="47"/>
  <c r="O41" i="24" s="1"/>
  <c r="C41" i="24" s="1"/>
  <c r="C42" i="24" s="1"/>
  <c r="O42" i="24" s="1"/>
  <c r="F43" i="45"/>
  <c r="E43" i="51"/>
  <c r="E43" i="44"/>
  <c r="J97" i="8"/>
  <c r="P97" i="8" s="1"/>
  <c r="P99" i="8" s="1"/>
  <c r="D68" i="5"/>
  <c r="D69" i="5" s="1"/>
  <c r="C68" i="5"/>
  <c r="C14" i="42" s="1"/>
  <c r="C32" i="42" s="1"/>
  <c r="E19" i="5"/>
  <c r="L20" i="47"/>
  <c r="L20" i="48" s="1"/>
  <c r="C25" i="10"/>
  <c r="E31" i="10"/>
  <c r="G27" i="51"/>
  <c r="G33" i="51" s="1"/>
  <c r="AP44" i="15"/>
  <c r="E23" i="10"/>
  <c r="E15" i="10"/>
  <c r="E14" i="10"/>
  <c r="D70" i="8"/>
  <c r="F38" i="7"/>
  <c r="F37" i="7"/>
  <c r="E31" i="6"/>
  <c r="F31" i="6"/>
  <c r="D58" i="5"/>
  <c r="C58" i="5"/>
  <c r="E13" i="5"/>
  <c r="E14" i="5"/>
  <c r="E17" i="5"/>
  <c r="E12" i="5"/>
  <c r="E29" i="5"/>
  <c r="E28" i="5"/>
  <c r="E25" i="5"/>
  <c r="D53" i="7"/>
  <c r="D56" i="7" s="1"/>
  <c r="F23" i="14"/>
  <c r="I71" i="56"/>
  <c r="H71" i="56"/>
  <c r="G71" i="56"/>
  <c r="F71" i="56"/>
  <c r="E71" i="56"/>
  <c r="E53" i="7"/>
  <c r="E56" i="7" s="1"/>
  <c r="AE50" i="15" s="1"/>
  <c r="AE63" i="15" s="1"/>
  <c r="F34" i="7"/>
  <c r="M61" i="8"/>
  <c r="G61" i="8"/>
  <c r="G89" i="8"/>
  <c r="J50" i="8"/>
  <c r="F33" i="7"/>
  <c r="F32" i="7"/>
  <c r="F31" i="7"/>
  <c r="D55" i="7"/>
  <c r="D89" i="8"/>
  <c r="E17" i="6"/>
  <c r="D17" i="6"/>
  <c r="C15" i="49" s="1"/>
  <c r="C16" i="49"/>
  <c r="C17" i="49"/>
  <c r="C19" i="49"/>
  <c r="C18" i="49"/>
  <c r="L13" i="48"/>
  <c r="L15" i="48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N12" i="42"/>
  <c r="N13" i="42"/>
  <c r="Q11" i="47"/>
  <c r="L24" i="42"/>
  <c r="L53" i="42"/>
  <c r="M53" i="42"/>
  <c r="N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Q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N12" i="44"/>
  <c r="E13" i="44"/>
  <c r="E20" i="44"/>
  <c r="M24" i="44"/>
  <c r="L53" i="44"/>
  <c r="M53" i="44"/>
  <c r="N53" i="44"/>
  <c r="N16" i="45"/>
  <c r="N24" i="45" s="1"/>
  <c r="S24" i="45" s="1"/>
  <c r="T24" i="45" s="1"/>
  <c r="P14" i="47"/>
  <c r="G12" i="18"/>
  <c r="G14" i="18" s="1"/>
  <c r="G17" i="18" s="1"/>
  <c r="O14" i="45"/>
  <c r="AP47" i="15"/>
  <c r="AP37" i="15"/>
  <c r="AP31" i="15"/>
  <c r="AP34" i="15"/>
  <c r="AP43" i="15"/>
  <c r="AP42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M53" i="45"/>
  <c r="N53" i="45"/>
  <c r="O53" i="45"/>
  <c r="A10" i="46"/>
  <c r="A11" i="46" s="1"/>
  <c r="A12" i="46"/>
  <c r="A13" i="46" s="1"/>
  <c r="A14" i="46" s="1"/>
  <c r="A15" i="46" s="1"/>
  <c r="A16" i="46" s="1"/>
  <c r="A17" i="46" s="1"/>
  <c r="E10" i="46"/>
  <c r="E40" i="46"/>
  <c r="E49" i="46"/>
  <c r="J61" i="8"/>
  <c r="D61" i="8"/>
  <c r="P61" i="8"/>
  <c r="J78" i="8"/>
  <c r="J87" i="8"/>
  <c r="M89" i="8"/>
  <c r="J102" i="8"/>
  <c r="J104" i="8" s="1"/>
  <c r="M27" i="44"/>
  <c r="M33" i="44" s="1"/>
  <c r="D49" i="44" s="1"/>
  <c r="F15" i="7"/>
  <c r="F16" i="7"/>
  <c r="F17" i="7"/>
  <c r="F25" i="7"/>
  <c r="F30" i="7"/>
  <c r="F15" i="6"/>
  <c r="F26" i="6"/>
  <c r="F27" i="6" s="1"/>
  <c r="C14" i="46"/>
  <c r="F36" i="6"/>
  <c r="F37" i="6" s="1"/>
  <c r="D37" i="6"/>
  <c r="C29" i="47" s="1"/>
  <c r="E37" i="6"/>
  <c r="E10" i="5"/>
  <c r="D40" i="5"/>
  <c r="D13" i="46" s="1"/>
  <c r="E27" i="5"/>
  <c r="E63" i="5"/>
  <c r="E64" i="5"/>
  <c r="E65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L41" i="49"/>
  <c r="M41" i="49"/>
  <c r="N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N28" i="47"/>
  <c r="O36" i="24" s="1"/>
  <c r="C36" i="24" s="1"/>
  <c r="O12" i="45"/>
  <c r="G53" i="51"/>
  <c r="L27" i="42"/>
  <c r="L33" i="42" s="1"/>
  <c r="C49" i="42" s="1"/>
  <c r="D52" i="46"/>
  <c r="C52" i="46"/>
  <c r="F29" i="14"/>
  <c r="Q52" i="46"/>
  <c r="D14" i="46"/>
  <c r="P16" i="47"/>
  <c r="L19" i="46"/>
  <c r="K80" i="13"/>
  <c r="P10" i="47"/>
  <c r="O14" i="47"/>
  <c r="Q16" i="47"/>
  <c r="E19" i="24"/>
  <c r="D19" i="24"/>
  <c r="P17" i="47"/>
  <c r="O17" i="47"/>
  <c r="Q17" i="47"/>
  <c r="O23" i="47"/>
  <c r="Q12" i="47"/>
  <c r="Q14" i="47"/>
  <c r="Q30" i="47"/>
  <c r="P26" i="47"/>
  <c r="O26" i="47"/>
  <c r="D14" i="47"/>
  <c r="P23" i="47"/>
  <c r="O32" i="47"/>
  <c r="Q26" i="47"/>
  <c r="Q32" i="47"/>
  <c r="P32" i="47"/>
  <c r="Q23" i="47"/>
  <c r="L24" i="44"/>
  <c r="G24" i="51"/>
  <c r="C48" i="51" s="1"/>
  <c r="I12" i="51"/>
  <c r="M24" i="64"/>
  <c r="M24" i="42"/>
  <c r="E25" i="10"/>
  <c r="J107" i="8"/>
  <c r="J109" i="8" s="1"/>
  <c r="N27" i="64" s="1"/>
  <c r="E89" i="58"/>
  <c r="F89" i="58"/>
  <c r="O13" i="45"/>
  <c r="D92" i="8" l="1"/>
  <c r="J45" i="8"/>
  <c r="F21" i="7"/>
  <c r="J43" i="24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E32" i="10"/>
  <c r="C29" i="46"/>
  <c r="E11" i="46"/>
  <c r="E11" i="47"/>
  <c r="C11" i="46"/>
  <c r="C11" i="47"/>
  <c r="C11" i="48" s="1"/>
  <c r="E42" i="47"/>
  <c r="AM63" i="15"/>
  <c r="M78" i="8"/>
  <c r="M84" i="8" s="1"/>
  <c r="L30" i="46" s="1"/>
  <c r="L30" i="47" s="1"/>
  <c r="J84" i="8"/>
  <c r="D48" i="64"/>
  <c r="C48" i="64"/>
  <c r="E34" i="64"/>
  <c r="E32" i="64"/>
  <c r="E29" i="47"/>
  <c r="D29" i="47"/>
  <c r="D19" i="49" s="1"/>
  <c r="C59" i="5"/>
  <c r="C14" i="44"/>
  <c r="C13" i="47" s="1"/>
  <c r="D59" i="5"/>
  <c r="D14" i="44"/>
  <c r="D32" i="44" s="1"/>
  <c r="D34" i="44" s="1"/>
  <c r="D48" i="44" s="1"/>
  <c r="D53" i="44" s="1"/>
  <c r="D54" i="44" s="1"/>
  <c r="C34" i="42"/>
  <c r="C48" i="42"/>
  <c r="D11" i="48"/>
  <c r="D47" i="5"/>
  <c r="C47" i="5"/>
  <c r="N24" i="42"/>
  <c r="I24" i="51"/>
  <c r="E48" i="51" s="1"/>
  <c r="H34" i="51"/>
  <c r="H54" i="51" s="1"/>
  <c r="J19" i="8"/>
  <c r="M25" i="8"/>
  <c r="N20" i="46"/>
  <c r="M19" i="46"/>
  <c r="M19" i="47" s="1"/>
  <c r="M19" i="48" s="1"/>
  <c r="C26" i="10"/>
  <c r="E29" i="46"/>
  <c r="D29" i="46"/>
  <c r="D32" i="46" s="1"/>
  <c r="E33" i="6"/>
  <c r="E39" i="6" s="1"/>
  <c r="E42" i="6" s="1"/>
  <c r="C32" i="46"/>
  <c r="F17" i="6"/>
  <c r="D33" i="6"/>
  <c r="D39" i="6" s="1"/>
  <c r="D42" i="6" s="1"/>
  <c r="F33" i="6"/>
  <c r="E34" i="5"/>
  <c r="E58" i="5"/>
  <c r="E59" i="5" s="1"/>
  <c r="H21" i="13"/>
  <c r="H40" i="13" s="1"/>
  <c r="D19" i="47"/>
  <c r="D16" i="48" s="1"/>
  <c r="E48" i="45"/>
  <c r="M37" i="48"/>
  <c r="M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N14" i="49"/>
  <c r="E25" i="47"/>
  <c r="E16" i="49" s="1"/>
  <c r="E49" i="47"/>
  <c r="E42" i="48" s="1"/>
  <c r="L16" i="46"/>
  <c r="L16" i="47" s="1"/>
  <c r="L16" i="48" s="1"/>
  <c r="V50" i="15"/>
  <c r="V63" i="15" s="1"/>
  <c r="J49" i="8"/>
  <c r="J56" i="8" s="1"/>
  <c r="L17" i="46"/>
  <c r="L17" i="47" s="1"/>
  <c r="L17" i="48" s="1"/>
  <c r="C12" i="48"/>
  <c r="E15" i="49"/>
  <c r="L37" i="48"/>
  <c r="L44" i="48" s="1"/>
  <c r="D52" i="47"/>
  <c r="I52" i="47" s="1"/>
  <c r="J52" i="47" s="1"/>
  <c r="AP14" i="15"/>
  <c r="A26" i="49"/>
  <c r="A27" i="49" s="1"/>
  <c r="A28" i="49" s="1"/>
  <c r="A29" i="49" s="1"/>
  <c r="A30" i="49" s="1"/>
  <c r="C52" i="47"/>
  <c r="N24" i="64"/>
  <c r="L34" i="64"/>
  <c r="L54" i="64" s="1"/>
  <c r="L34" i="42"/>
  <c r="L54" i="42" s="1"/>
  <c r="G70" i="8"/>
  <c r="G92" i="8" s="1"/>
  <c r="M27" i="47"/>
  <c r="M13" i="49" s="1"/>
  <c r="M27" i="46"/>
  <c r="P107" i="8"/>
  <c r="P109" i="8" s="1"/>
  <c r="M27" i="64" s="1"/>
  <c r="M14" i="8"/>
  <c r="J96" i="8"/>
  <c r="M19" i="8"/>
  <c r="N27" i="44"/>
  <c r="N33" i="44" s="1"/>
  <c r="E49" i="44" s="1"/>
  <c r="L18" i="47"/>
  <c r="L18" i="48" s="1"/>
  <c r="N18" i="46"/>
  <c r="N18" i="47" s="1"/>
  <c r="M18" i="47"/>
  <c r="M18" i="48" s="1"/>
  <c r="N24" i="44"/>
  <c r="N27" i="42"/>
  <c r="N33" i="42" s="1"/>
  <c r="E49" i="42" s="1"/>
  <c r="C49" i="64"/>
  <c r="C53" i="64" s="1"/>
  <c r="C54" i="64" s="1"/>
  <c r="L34" i="44"/>
  <c r="L54" i="44" s="1"/>
  <c r="M34" i="44"/>
  <c r="M54" i="44" s="1"/>
  <c r="I27" i="51"/>
  <c r="I33" i="51" s="1"/>
  <c r="E49" i="51" s="1"/>
  <c r="N10" i="47"/>
  <c r="N10" i="48" s="1"/>
  <c r="N20" i="47"/>
  <c r="N20" i="48" s="1"/>
  <c r="G21" i="13"/>
  <c r="F53" i="7"/>
  <c r="F56" i="7" s="1"/>
  <c r="M17" i="46"/>
  <c r="M17" i="47" s="1"/>
  <c r="M17" i="48" s="1"/>
  <c r="M12" i="47"/>
  <c r="M12" i="48" s="1"/>
  <c r="N12" i="46"/>
  <c r="N10" i="46"/>
  <c r="E52" i="46"/>
  <c r="G32" i="63"/>
  <c r="M14" i="46"/>
  <c r="D14" i="42"/>
  <c r="D32" i="42" s="1"/>
  <c r="E68" i="5"/>
  <c r="E69" i="5" s="1"/>
  <c r="C69" i="5"/>
  <c r="E32" i="51"/>
  <c r="AB50" i="15"/>
  <c r="AB63" i="15" s="1"/>
  <c r="D58" i="7"/>
  <c r="L10" i="48"/>
  <c r="L29" i="47"/>
  <c r="L29" i="46"/>
  <c r="J89" i="8"/>
  <c r="P87" i="8"/>
  <c r="P89" i="8" s="1"/>
  <c r="M30" i="46" s="1"/>
  <c r="M30" i="47" s="1"/>
  <c r="M16" i="49" s="1"/>
  <c r="N52" i="47"/>
  <c r="N37" i="48"/>
  <c r="N44" i="48" s="1"/>
  <c r="P65" i="8"/>
  <c r="P70" i="8" s="1"/>
  <c r="J70" i="8"/>
  <c r="L11" i="47"/>
  <c r="N11" i="46"/>
  <c r="M34" i="42"/>
  <c r="M54" i="42" s="1"/>
  <c r="M29" i="47"/>
  <c r="M15" i="49" s="1"/>
  <c r="M29" i="46"/>
  <c r="L14" i="46"/>
  <c r="AP24" i="15"/>
  <c r="L31" i="47"/>
  <c r="L17" i="49" s="1"/>
  <c r="E19" i="10"/>
  <c r="D11" i="49"/>
  <c r="C49" i="51"/>
  <c r="G34" i="51"/>
  <c r="G54" i="51" s="1"/>
  <c r="E31" i="14"/>
  <c r="D16" i="46" s="1"/>
  <c r="F26" i="13"/>
  <c r="F40" i="13" s="1"/>
  <c r="D16" i="47" s="1"/>
  <c r="L12" i="48"/>
  <c r="D12" i="48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M31" i="47"/>
  <c r="M17" i="49" s="1"/>
  <c r="M31" i="46"/>
  <c r="C14" i="47"/>
  <c r="E14" i="46"/>
  <c r="M43" i="24"/>
  <c r="M22" i="8"/>
  <c r="M11" i="47"/>
  <c r="F43" i="24"/>
  <c r="M45" i="8" l="1"/>
  <c r="N18" i="48"/>
  <c r="O29" i="24"/>
  <c r="L48" i="46"/>
  <c r="T48" i="46" s="1"/>
  <c r="M26" i="46"/>
  <c r="N27" i="45"/>
  <c r="O27" i="45" s="1"/>
  <c r="O33" i="45" s="1"/>
  <c r="F49" i="45" s="1"/>
  <c r="J99" i="8"/>
  <c r="J126" i="8" s="1"/>
  <c r="F39" i="6"/>
  <c r="F42" i="6" s="1"/>
  <c r="M92" i="8"/>
  <c r="E48" i="64"/>
  <c r="C32" i="44"/>
  <c r="C34" i="44" s="1"/>
  <c r="E14" i="44"/>
  <c r="E32" i="44" s="1"/>
  <c r="E40" i="5"/>
  <c r="E13" i="46" s="1"/>
  <c r="D31" i="46"/>
  <c r="D33" i="46" s="1"/>
  <c r="D53" i="46" s="1"/>
  <c r="D34" i="42"/>
  <c r="E34" i="42" s="1"/>
  <c r="D48" i="42"/>
  <c r="D53" i="42" s="1"/>
  <c r="E11" i="48"/>
  <c r="E47" i="5"/>
  <c r="D14" i="48"/>
  <c r="E53" i="51"/>
  <c r="E54" i="51" s="1"/>
  <c r="J92" i="8"/>
  <c r="N19" i="47"/>
  <c r="N19" i="48" s="1"/>
  <c r="N19" i="46"/>
  <c r="C33" i="10"/>
  <c r="E26" i="10"/>
  <c r="E33" i="10" s="1"/>
  <c r="E32" i="46"/>
  <c r="K21" i="13"/>
  <c r="D13" i="47"/>
  <c r="D13" i="48" s="1"/>
  <c r="D14" i="49"/>
  <c r="D22" i="49" s="1"/>
  <c r="D23" i="49" s="1"/>
  <c r="O15" i="24"/>
  <c r="E14" i="49"/>
  <c r="D32" i="47"/>
  <c r="E52" i="47"/>
  <c r="O21" i="24" s="1"/>
  <c r="C21" i="24" s="1"/>
  <c r="G126" i="8"/>
  <c r="L23" i="46"/>
  <c r="O25" i="24"/>
  <c r="C25" i="24" s="1"/>
  <c r="L27" i="47"/>
  <c r="M33" i="64"/>
  <c r="N34" i="44"/>
  <c r="N54" i="44" s="1"/>
  <c r="C53" i="42"/>
  <c r="C54" i="42" s="1"/>
  <c r="N34" i="42"/>
  <c r="N54" i="42" s="1"/>
  <c r="N29" i="46"/>
  <c r="I34" i="51"/>
  <c r="I54" i="51" s="1"/>
  <c r="G40" i="13"/>
  <c r="N17" i="46"/>
  <c r="N17" i="47" s="1"/>
  <c r="N17" i="48" s="1"/>
  <c r="N12" i="47"/>
  <c r="O27" i="24" s="1"/>
  <c r="C27" i="24" s="1"/>
  <c r="M24" i="45"/>
  <c r="M34" i="45" s="1"/>
  <c r="M54" i="45" s="1"/>
  <c r="O16" i="45"/>
  <c r="O24" i="45" s="1"/>
  <c r="M14" i="47"/>
  <c r="M14" i="48" s="1"/>
  <c r="E14" i="42"/>
  <c r="E32" i="42" s="1"/>
  <c r="E48" i="42" s="1"/>
  <c r="E53" i="42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N30" i="47"/>
  <c r="L16" i="49"/>
  <c r="P126" i="8"/>
  <c r="N14" i="46"/>
  <c r="L14" i="47"/>
  <c r="L14" i="48" s="1"/>
  <c r="L11" i="48"/>
  <c r="N11" i="47"/>
  <c r="L15" i="49"/>
  <c r="N15" i="49" s="1"/>
  <c r="N29" i="47"/>
  <c r="O37" i="24" s="1"/>
  <c r="C37" i="24" s="1"/>
  <c r="E40" i="13"/>
  <c r="K26" i="13"/>
  <c r="M11" i="48"/>
  <c r="O17" i="24"/>
  <c r="C17" i="24" s="1"/>
  <c r="E19" i="49"/>
  <c r="F55" i="7"/>
  <c r="F58" i="7" s="1"/>
  <c r="N16" i="46"/>
  <c r="N16" i="47" s="1"/>
  <c r="N30" i="46"/>
  <c r="P92" i="8"/>
  <c r="N31" i="46"/>
  <c r="N31" i="47"/>
  <c r="C13" i="48"/>
  <c r="D22" i="48" l="1"/>
  <c r="D24" i="48" s="1"/>
  <c r="L26" i="46"/>
  <c r="N26" i="46" s="1"/>
  <c r="N33" i="45"/>
  <c r="N34" i="45" s="1"/>
  <c r="N54" i="45" s="1"/>
  <c r="E54" i="42"/>
  <c r="D54" i="42"/>
  <c r="O8" i="24"/>
  <c r="C8" i="24" s="1"/>
  <c r="E31" i="46"/>
  <c r="E34" i="44"/>
  <c r="E48" i="44" s="1"/>
  <c r="E53" i="44" s="1"/>
  <c r="E54" i="44" s="1"/>
  <c r="C48" i="44"/>
  <c r="C53" i="44" s="1"/>
  <c r="C54" i="44" s="1"/>
  <c r="D31" i="47"/>
  <c r="D33" i="47" s="1"/>
  <c r="D53" i="47" s="1"/>
  <c r="O32" i="24"/>
  <c r="C32" i="24" s="1"/>
  <c r="M47" i="46"/>
  <c r="U47" i="46" s="1"/>
  <c r="L27" i="46"/>
  <c r="N27" i="46" s="1"/>
  <c r="N33" i="64"/>
  <c r="N34" i="64" s="1"/>
  <c r="N54" i="64" s="1"/>
  <c r="L13" i="49"/>
  <c r="N13" i="49" s="1"/>
  <c r="N27" i="47"/>
  <c r="O35" i="24" s="1"/>
  <c r="C35" i="24" s="1"/>
  <c r="M26" i="47"/>
  <c r="M12" i="49" s="1"/>
  <c r="M18" i="49" s="1"/>
  <c r="M23" i="49" s="1"/>
  <c r="M126" i="8"/>
  <c r="M32" i="46"/>
  <c r="O34" i="45"/>
  <c r="O54" i="45" s="1"/>
  <c r="E13" i="47"/>
  <c r="E13" i="48" s="1"/>
  <c r="K40" i="13"/>
  <c r="O31" i="24"/>
  <c r="C31" i="24" s="1"/>
  <c r="N12" i="48"/>
  <c r="F48" i="45"/>
  <c r="F53" i="45" s="1"/>
  <c r="F54" i="45" s="1"/>
  <c r="D48" i="45"/>
  <c r="D53" i="45" s="1"/>
  <c r="D54" i="45" s="1"/>
  <c r="N14" i="47"/>
  <c r="L22" i="48"/>
  <c r="L24" i="48" s="1"/>
  <c r="L23" i="47"/>
  <c r="O39" i="24"/>
  <c r="C39" i="24" s="1"/>
  <c r="N17" i="49"/>
  <c r="N16" i="49"/>
  <c r="O38" i="24"/>
  <c r="C38" i="24" s="1"/>
  <c r="C16" i="47"/>
  <c r="C31" i="47" s="1"/>
  <c r="C31" i="46"/>
  <c r="C33" i="46" s="1"/>
  <c r="O26" i="24"/>
  <c r="C26" i="24" s="1"/>
  <c r="N11" i="48"/>
  <c r="O11" i="24"/>
  <c r="C11" i="24" s="1"/>
  <c r="E16" i="48"/>
  <c r="E32" i="47"/>
  <c r="E11" i="49"/>
  <c r="E22" i="49" s="1"/>
  <c r="E23" i="49" s="1"/>
  <c r="N23" i="46"/>
  <c r="M34" i="64"/>
  <c r="M54" i="64" s="1"/>
  <c r="D49" i="64"/>
  <c r="D53" i="64" s="1"/>
  <c r="D54" i="64" s="1"/>
  <c r="N16" i="48"/>
  <c r="O30" i="24"/>
  <c r="C19" i="24"/>
  <c r="O19" i="24"/>
  <c r="N14" i="48" l="1"/>
  <c r="N22" i="48" s="1"/>
  <c r="N24" i="48" s="1"/>
  <c r="O28" i="24"/>
  <c r="C28" i="24" s="1"/>
  <c r="L45" i="48"/>
  <c r="E49" i="45"/>
  <c r="E53" i="45" s="1"/>
  <c r="E54" i="45" s="1"/>
  <c r="L26" i="47"/>
  <c r="L12" i="49" s="1"/>
  <c r="L18" i="49" s="1"/>
  <c r="L23" i="49" s="1"/>
  <c r="N32" i="46"/>
  <c r="N33" i="46" s="1"/>
  <c r="O9" i="24"/>
  <c r="C9" i="24" s="1"/>
  <c r="L32" i="46"/>
  <c r="L33" i="46" s="1"/>
  <c r="C35" i="46" s="1"/>
  <c r="E49" i="64"/>
  <c r="E53" i="64" s="1"/>
  <c r="E54" i="64" s="1"/>
  <c r="M32" i="47"/>
  <c r="L47" i="46"/>
  <c r="N23" i="47"/>
  <c r="E16" i="47"/>
  <c r="E31" i="47" s="1"/>
  <c r="C14" i="48"/>
  <c r="C22" i="48" s="1"/>
  <c r="C24" i="48" s="1"/>
  <c r="C26" i="48" s="1"/>
  <c r="C33" i="47"/>
  <c r="M42" i="49"/>
  <c r="D25" i="49"/>
  <c r="C53" i="46"/>
  <c r="E33" i="46"/>
  <c r="L52" i="46" l="1"/>
  <c r="L53" i="46" s="1"/>
  <c r="T47" i="46"/>
  <c r="N45" i="48"/>
  <c r="M48" i="46"/>
  <c r="L32" i="47"/>
  <c r="L33" i="47" s="1"/>
  <c r="L53" i="47" s="1"/>
  <c r="N26" i="47"/>
  <c r="O34" i="24" s="1"/>
  <c r="D33" i="49"/>
  <c r="D36" i="48" s="1"/>
  <c r="D44" i="48" s="1"/>
  <c r="D45" i="48" s="1"/>
  <c r="N48" i="46"/>
  <c r="E35" i="46"/>
  <c r="N47" i="46"/>
  <c r="C33" i="24"/>
  <c r="O33" i="24"/>
  <c r="C53" i="47"/>
  <c r="E33" i="47"/>
  <c r="E53" i="47" s="1"/>
  <c r="L42" i="49"/>
  <c r="C25" i="49"/>
  <c r="E53" i="46"/>
  <c r="E14" i="48"/>
  <c r="E22" i="48" s="1"/>
  <c r="E24" i="48" s="1"/>
  <c r="E26" i="48" s="1"/>
  <c r="O10" i="24"/>
  <c r="T52" i="46" l="1"/>
  <c r="T53" i="46" s="1"/>
  <c r="V47" i="46"/>
  <c r="M52" i="46"/>
  <c r="U48" i="46"/>
  <c r="N12" i="49"/>
  <c r="N18" i="49" s="1"/>
  <c r="N23" i="49" s="1"/>
  <c r="E25" i="49" s="1"/>
  <c r="C35" i="47"/>
  <c r="N32" i="47"/>
  <c r="N33" i="47" s="1"/>
  <c r="E35" i="47" s="1"/>
  <c r="D41" i="49"/>
  <c r="D42" i="49" s="1"/>
  <c r="C33" i="49"/>
  <c r="C36" i="48" s="1"/>
  <c r="N52" i="46"/>
  <c r="N53" i="46" s="1"/>
  <c r="C10" i="24"/>
  <c r="O14" i="24"/>
  <c r="O22" i="24" s="1"/>
  <c r="O40" i="24"/>
  <c r="C34" i="24"/>
  <c r="V48" i="46" l="1"/>
  <c r="V52" i="46" s="1"/>
  <c r="V53" i="46" s="1"/>
  <c r="U52" i="46"/>
  <c r="U53" i="46" s="1"/>
  <c r="C14" i="24"/>
  <c r="C22" i="24" s="1"/>
  <c r="C40" i="24"/>
  <c r="C43" i="24" s="1"/>
  <c r="O43" i="24" s="1"/>
  <c r="N42" i="49"/>
  <c r="N53" i="47"/>
  <c r="E55" i="47" s="1"/>
  <c r="E33" i="49"/>
  <c r="E36" i="48" s="1"/>
  <c r="E41" i="49" l="1"/>
  <c r="E42" i="49" s="1"/>
  <c r="C41" i="49"/>
  <c r="C42" i="49" s="1"/>
  <c r="E44" i="48" l="1"/>
  <c r="E45" i="48" s="1"/>
  <c r="C44" i="48"/>
  <c r="C45" i="48" s="1"/>
  <c r="E55" i="7" l="1"/>
  <c r="E58" i="7" s="1"/>
  <c r="M16" i="46"/>
  <c r="M16" i="47" s="1"/>
  <c r="Y50" i="15" l="1"/>
  <c r="M16" i="48"/>
  <c r="M22" i="48" s="1"/>
  <c r="M24" i="48" s="1"/>
  <c r="M23" i="47"/>
  <c r="M33" i="47" s="1"/>
  <c r="M23" i="46"/>
  <c r="M33" i="46" s="1"/>
  <c r="M45" i="48" l="1"/>
  <c r="D26" i="48"/>
  <c r="AP50" i="15"/>
  <c r="AP63" i="15" s="1"/>
  <c r="Y63" i="15"/>
  <c r="M53" i="46"/>
  <c r="D35" i="46"/>
  <c r="D35" i="47"/>
  <c r="M53" i="47"/>
  <c r="D126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<sst xmlns="http://schemas.openxmlformats.org/spreadsheetml/2006/main" count="3098" uniqueCount="1269">
  <si>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</si>
  <si>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</si>
  <si>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</si>
  <si>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</si>
  <si>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</si>
  <si>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</si>
  <si>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</si>
  <si>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</si>
  <si>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</si>
  <si>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</si>
  <si>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</si>
  <si>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</si>
  <si>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</si>
  <si>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</si>
  <si>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</si>
  <si>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</si>
  <si>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</si>
  <si>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</si>
  <si>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</si>
  <si>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</si>
  <si>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</si>
  <si>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</si>
  <si>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</si>
  <si>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</si>
  <si>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</si>
  <si>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</si>
  <si>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</si>
  <si>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</si>
  <si>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</si>
  <si>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</si>
  <si>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</si>
  <si>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</si>
  <si>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</si>
  <si>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</si>
  <si>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</si>
  <si>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</si>
  <si>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</si>
  <si>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</si>
  <si>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</si>
  <si>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</si>
  <si>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</si>
  <si>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</si>
  <si>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</si>
  <si>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</si>
  <si>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</si>
  <si>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</si>
  <si>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</si>
  <si>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</si>
  <si>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</si>
  <si>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</si>
  <si>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</si>
  <si>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</si>
  <si>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</si>
  <si>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</si>
  <si>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</si>
  <si>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</si>
  <si>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</si>
  <si>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</si>
  <si>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</si>
  <si>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</si>
  <si>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</si>
  <si>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</si>
  <si>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</si>
  <si>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</si>
  <si>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</si>
  <si>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</si>
  <si>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</si>
  <si>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</si>
  <si>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</si>
  <si>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</si>
  <si>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</si>
  <si>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</si>
  <si>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</si>
  <si>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</si>
  <si>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</si>
  <si>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</si>
  <si>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</si>
  <si>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</si>
  <si>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</si>
  <si>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</si>
  <si>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</si>
  <si>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</si>
  <si>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</si>
  <si>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</si>
  <si>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</si>
  <si>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</si>
  <si>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</si>
  <si>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</si>
  <si>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</si>
  <si>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</si>
  <si>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</si>
  <si>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</si>
  <si>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</si>
  <si>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</si>
  <si>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</si>
  <si>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</si>
  <si>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</si>
  <si>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</si>
  <si>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</si>
  <si>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</si>
  <si>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</si>
  <si>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</si>
  <si>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</si>
  <si>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</si>
  <si>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</si>
  <si>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</si>
  <si>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</si>
  <si>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</si>
  <si>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</si>
  <si>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</si>
  <si>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</si>
  <si>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</si>
  <si>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</si>
  <si>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</si>
  <si>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</si>
  <si>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</si>
  <si>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</si>
  <si>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</si>
  <si>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</si>
  <si>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</si>
  <si>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</si>
  <si>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</si>
  <si>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</si>
  <si>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</si>
  <si>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</si>
  <si>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</si>
  <si>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</si>
  <si>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</si>
  <si>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</si>
  <si>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</si>
  <si>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</si>
  <si>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</si>
  <si>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</si>
  <si>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</si>
  <si>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</si>
  <si>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</si>
  <si>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</si>
  <si>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</si>
  <si>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</si>
  <si>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</si>
  <si>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</si>
  <si>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</si>
  <si>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</si>
  <si>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</si>
  <si>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</si>
  <si>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</si>
  <si>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</si>
  <si>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</si>
  <si>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</si>
  <si>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</si>
  <si>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</si>
  <si>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</si>
  <si>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</si>
  <si>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</si>
  <si>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</si>
  <si>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</si>
  <si>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</si>
  <si>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</si>
  <si>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</si>
  <si>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</si>
  <si>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</si>
  <si>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</si>
  <si>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</si>
  <si>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</si>
  <si>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</si>
  <si>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</si>
  <si>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</si>
  <si>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</si>
  <si>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</si>
  <si>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</si>
  <si>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</si>
  <si>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</si>
  <si>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</si>
  <si>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</si>
  <si>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</si>
  <si>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</si>
  <si>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</si>
  <si>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</si>
  <si>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</si>
  <si>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</si>
  <si>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</si>
  <si>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</si>
  <si>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</si>
  <si>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</si>
  <si>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</si>
  <si>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</si>
  <si>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</si>
  <si>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</si>
  <si>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</si>
  <si>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</si>
  <si>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</si>
  <si>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</si>
  <si>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</si>
  <si>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</si>
  <si>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</si>
  <si>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</si>
  <si>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</si>
  <si>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</si>
  <si>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</si>
  <si>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</si>
  <si>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</si>
  <si>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</si>
  <si>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</si>
  <si>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</si>
  <si>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</si>
  <si>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</si>
  <si>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</si>
  <si>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</si>
  <si>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</si>
  <si>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</si>
  <si>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</si>
  <si>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</si>
  <si>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</si>
  <si>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</si>
  <si>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</si>
  <si>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</si>
  <si>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</si>
  <si>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</si>
  <si>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</si>
  <si>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</si>
  <si>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</si>
  <si>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</si>
  <si>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</si>
  <si>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</si>
  <si>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</si>
  <si>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</si>
  <si>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</si>
  <si>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</si>
  <si>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</si>
  <si>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</si>
  <si>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</si>
  <si>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</si>
  <si>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</si>
  <si>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</si>
  <si>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</si>
  <si>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</si>
  <si>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</si>
  <si>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</si>
  <si>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</si>
  <si>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</si>
  <si>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</si>
  <si>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</si>
  <si>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</si>
  <si>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</si>
  <si>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</si>
  <si>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</si>
  <si>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</si>
  <si>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</si>
  <si>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</si>
  <si>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</si>
  <si>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</si>
  <si>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</si>
  <si>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</si>
  <si>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</si>
  <si>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</si>
  <si>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</si>
  <si>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</si>
  <si>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</si>
  <si>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</si>
  <si>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</si>
  <si>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</si>
  <si>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</si>
  <si>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</si>
  <si>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</si>
  <si>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</si>
  <si>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</si>
  <si>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</si>
  <si>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</si>
  <si>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</si>
  <si>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</si>
  <si>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</si>
  <si>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</si>
  <si>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</si>
  <si>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</si>
  <si>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</si>
  <si>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</si>
  <si>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</si>
  <si>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</si>
  <si>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</si>
  <si>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</si>
  <si>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</si>
  <si>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</si>
  <si>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</si>
  <si>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</si>
  <si>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</si>
  <si>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</si>
  <si>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</si>
  <si>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</si>
  <si>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</si>
  <si>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</si>
  <si>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</si>
  <si>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</si>
  <si>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</si>
  <si>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</si>
  <si>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</si>
  <si>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</si>
  <si>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</si>
  <si>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</si>
  <si>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</si>
  <si>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</si>
  <si>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</si>
  <si>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</si>
  <si>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</si>
  <si>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</si>
  <si>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</si>
  <si>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</si>
  <si>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</si>
  <si>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</si>
  <si>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</si>
  <si>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</si>
  <si>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</si>
  <si>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</si>
  <si>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</si>
  <si>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</si>
  <si>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</si>
  <si>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</si>
  <si>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</si>
  <si>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</si>
  <si>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</si>
  <si>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</si>
  <si>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</si>
  <si>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</si>
  <si>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</si>
  <si>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</si>
  <si>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</si>
  <si>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</si>
  <si>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</si>
  <si>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</si>
  <si>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</si>
  <si>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</si>
  <si>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</si>
  <si>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</si>
  <si>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</si>
  <si>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</si>
  <si>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</si>
  <si>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</si>
  <si>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</si>
  <si>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</si>
  <si>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</si>
  <si>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</si>
  <si>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</si>
  <si>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</si>
  <si>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</si>
  <si>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</si>
  <si>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</si>
  <si>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</si>
  <si>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</si>
  <si>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</si>
  <si>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</si>
  <si>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</si>
  <si>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</si>
  <si>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</si>
  <si>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</si>
  <si>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</si>
  <si>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</si>
  <si>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</si>
  <si>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</si>
  <si>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</si>
  <si>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</si>
  <si>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</si>
  <si>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</si>
  <si>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</si>
  <si>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</si>
  <si>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</si>
  <si>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</si>
  <si>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</si>
  <si>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</si>
  <si>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</si>
  <si>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</si>
  <si>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</si>
  <si>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</si>
  <si>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</si>
  <si>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</si>
  <si>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</si>
  <si>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</si>
  <si>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</si>
  <si>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</si>
  <si>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</si>
  <si>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</si>
  <si>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</si>
  <si>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</si>
  <si>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</si>
  <si>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</si>
  <si>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</si>
  <si>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</si>
  <si>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</si>
  <si>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</si>
  <si>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</si>
  <si>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</si>
  <si>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</si>
  <si>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</si>
  <si>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</si>
  <si>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</si>
  <si>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</si>
  <si>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</si>
  <si>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</si>
  <si>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</si>
  <si>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</si>
  <si>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</si>
  <si>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</si>
  <si>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</si>
  <si>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</si>
  <si>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</si>
  <si>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</si>
  <si>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</si>
  <si>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</si>
  <si>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</si>
  <si>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</si>
  <si>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</si>
  <si>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</si>
  <si>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</si>
  <si>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</si>
  <si>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</si>
  <si>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</si>
  <si>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</si>
  <si>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</si>
  <si>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</si>
  <si>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</si>
  <si>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</si>
  <si>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</si>
  <si>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</si>
  <si>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</si>
  <si>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</si>
  <si>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</si>
  <si>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</si>
  <si>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</si>
  <si>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</si>
  <si>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</si>
  <si>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</si>
  <si>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</si>
  <si>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</si>
  <si>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</si>
  <si>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</si>
  <si>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</si>
  <si>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</si>
  <si>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</si>
  <si>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</si>
  <si>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</si>
  <si>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</si>
  <si>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</si>
  <si>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</si>
  <si>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</si>
  <si>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</si>
  <si>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</si>
  <si>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</si>
  <si>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</si>
  <si>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</si>
  <si>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</si>
  <si>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</si>
  <si>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</si>
  <si>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</si>
  <si>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</si>
  <si>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</si>
  <si>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</si>
  <si>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</si>
  <si>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</si>
  <si>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</si>
  <si>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</si>
  <si>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</si>
  <si>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</si>
  <si>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</si>
  <si>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</si>
  <si>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</si>
  <si>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</si>
  <si>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</si>
  <si>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</si>
  <si>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</si>
  <si>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</si>
  <si>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</si>
  <si>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</si>
  <si>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</si>
  <si>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</si>
  <si>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</si>
  <si>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</si>
  <si>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</si>
  <si>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</si>
  <si>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</si>
  <si>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</si>
  <si>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</si>
  <si>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</si>
  <si>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</si>
  <si>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</si>
  <si>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</si>
  <si>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</si>
  <si>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</si>
  <si>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</si>
  <si>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</si>
  <si>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</si>
  <si>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</si>
  <si>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</si>
  <si>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</si>
  <si>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</si>
  <si>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</si>
  <si>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</si>
  <si>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</si>
  <si>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</si>
  <si>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</si>
  <si>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</si>
  <si>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</si>
  <si>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</si>
  <si>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</si>
  <si>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</si>
  <si>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</si>
  <si>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</si>
  <si>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</si>
  <si>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</si>
  <si>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</si>
  <si>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</si>
  <si>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</si>
  <si>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</si>
  <si>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</si>
  <si>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</si>
  <si>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</si>
  <si>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</si>
  <si>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</si>
  <si>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</si>
  <si>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</si>
  <si>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</si>
  <si>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</si>
  <si>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</si>
  <si>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</si>
  <si>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</si>
  <si>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</si>
  <si>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</si>
  <si>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</si>
  <si>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</si>
  <si>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</si>
  <si>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</si>
  <si>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</si>
  <si>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</si>
  <si>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</si>
  <si>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</si>
  <si>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</si>
  <si>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</si>
  <si>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</si>
  <si>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</si>
  <si>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</si>
  <si>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</si>
  <si>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</si>
  <si>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</si>
  <si>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</si>
  <si>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</si>
  <si>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</si>
  <si>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</si>
  <si>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</si>
  <si>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</si>
  <si>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</si>
  <si>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</si>
  <si>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</si>
  <si>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</si>
  <si>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</si>
  <si>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</si>
  <si>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</si>
  <si>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</si>
  <si>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</si>
  <si>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</si>
  <si>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</si>
  <si>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</si>
  <si>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</si>
  <si>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</si>
  <si>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</si>
  <si>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</si>
  <si>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</si>
  <si>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</si>
  <si>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</si>
  <si>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</si>
  <si>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</si>
  <si>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</si>
  <si>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</si>
  <si>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</si>
  <si>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</si>
  <si>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</si>
  <si>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</si>
  <si>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</si>
  <si>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</si>
  <si>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</si>
  <si>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</si>
  <si>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</si>
  <si>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</si>
  <si>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</si>
  <si>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</si>
  <si>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</si>
  <si>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</si>
  <si>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</si>
  <si>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</si>
  <si>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</si>
  <si>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</si>
  <si>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</si>
  <si>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</si>
  <si>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</si>
  <si>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</si>
  <si>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</si>
  <si>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</si>
  <si>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</si>
  <si>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</si>
  <si>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</si>
  <si>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</si>
  <si>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</si>
  <si>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</si>
  <si>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</si>
  <si>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</si>
  <si>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</si>
  <si>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</si>
  <si>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</si>
  <si>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</si>
  <si>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</si>
  <si>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</si>
  <si>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</si>
  <si>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</si>
  <si>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</si>
  <si>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</si>
  <si>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</si>
  <si>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</si>
  <si>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</si>
  <si>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</si>
  <si>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</si>
  <si>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</si>
  <si>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</si>
  <si>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</si>
  <si>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</si>
  <si>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</si>
  <si>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</si>
  <si>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</si>
  <si>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</si>
  <si>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</si>
  <si>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</si>
  <si>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</si>
  <si>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</si>
  <si>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</si>
  <si>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</si>
  <si>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</si>
  <si>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</si>
  <si>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</si>
  <si>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</si>
  <si>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</si>
  <si>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</si>
  <si>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</si>
  <si>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</si>
  <si>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</si>
  <si>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</si>
  <si>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</si>
  <si>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</si>
  <si>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</si>
  <si>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</si>
  <si>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</si>
  <si>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</si>
  <si>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</si>
  <si>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</si>
  <si>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</si>
  <si>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</si>
  <si>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</si>
  <si>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</si>
  <si>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</si>
  <si>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</si>
  <si>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</si>
  <si>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</si>
  <si>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</si>
  <si>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</si>
  <si>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</si>
  <si>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</si>
  <si>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</si>
  <si>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</si>
  <si>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</si>
  <si>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</si>
  <si>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</si>
  <si>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</si>
  <si>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</si>
  <si>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</si>
  <si>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</si>
  <si>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</si>
  <si>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</si>
  <si>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</si>
  <si>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</si>
  <si>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</si>
  <si>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</si>
  <si>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</si>
  <si>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</si>
  <si>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</si>
  <si>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</si>
  <si>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</si>
  <si>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</si>
  <si>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</si>
  <si>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</si>
  <si>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</si>
  <si>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</si>
  <si>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</si>
  <si>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</si>
  <si>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</si>
  <si>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</si>
  <si>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</si>
  <si>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</si>
  <si>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</si>
  <si>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</si>
  <si>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</si>
  <si>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</si>
  <si>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</si>
  <si>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</si>
  <si>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</si>
  <si>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</si>
  <si>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</si>
  <si>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</si>
  <si>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</si>
  <si>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</si>
  <si>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</si>
  <si>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</si>
  <si>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</si>
  <si>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</si>
  <si>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</si>
  <si>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</si>
  <si>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</si>
  <si>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</si>
  <si>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</si>
  <si>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</si>
  <si>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</si>
  <si>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</si>
  <si>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</si>
  <si>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</si>
  <si>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</si>
  <si>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</si>
  <si>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</si>
  <si>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</si>
  <si>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</si>
  <si>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</si>
  <si>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</si>
  <si>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</si>
  <si>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</si>
  <si>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</si>
  <si>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</si>
  <si>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</si>
  <si>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</si>
  <si>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</si>
  <si>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</si>
  <si>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</si>
  <si>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</si>
  <si>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</si>
  <si>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</si>
  <si>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</si>
  <si>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</si>
  <si>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</si>
  <si>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</si>
  <si>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</si>
  <si>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</si>
  <si>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</si>
  <si>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</si>
  <si>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</si>
  <si>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</si>
  <si>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</si>
  <si>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</si>
  <si>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</si>
  <si>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</si>
  <si>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</si>
  <si>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</si>
  <si>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</si>
  <si>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</si>
  <si>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</si>
  <si>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</si>
  <si>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</si>
  <si>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</si>
  <si>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</si>
  <si>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</si>
  <si>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</si>
  <si>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</si>
  <si>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</si>
  <si>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</si>
  <si>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</si>
  <si>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</si>
  <si>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</si>
  <si>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</si>
  <si>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</si>
  <si>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</si>
  <si>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</si>
  <si>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</si>
  <si>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</si>
  <si>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</si>
  <si>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 xml:space="preserve">K&amp;H Bank - Széfbérlet </t>
  </si>
  <si>
    <t>Kerékpárosbarát Települések Országos Szövetsége</t>
  </si>
  <si>
    <t>PMK/22-3/2012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</si>
  <si>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</si>
  <si>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</si>
  <si>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</si>
  <si>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</si>
  <si>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</si>
  <si>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</si>
  <si>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</si>
  <si>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</si>
  <si>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</si>
  <si>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</si>
  <si>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</si>
  <si>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</si>
  <si>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</si>
  <si>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</si>
  <si>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</si>
  <si>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Webmark Europe Kft - honlapok(3db) üzemeltetése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</si>
  <si>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</si>
  <si>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</si>
  <si>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</si>
  <si>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</si>
  <si>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</si>
  <si>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</si>
  <si>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</si>
  <si>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</si>
  <si>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</si>
  <si>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</si>
  <si>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</si>
  <si>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</si>
  <si>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</si>
  <si>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NetStandard Informatikai Kft - szerver üzemeltetés (hevizairport.hu)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</si>
  <si>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</si>
  <si>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</si>
  <si>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</si>
  <si>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</si>
  <si>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</si>
  <si>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</si>
  <si>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</si>
  <si>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</si>
  <si>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</si>
  <si>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</si>
  <si>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</si>
  <si>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</si>
  <si>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</si>
  <si>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</si>
  <si>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</si>
  <si>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</si>
  <si>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</si>
  <si>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</si>
  <si>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</si>
  <si>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</si>
  <si>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</si>
  <si>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</si>
  <si>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</si>
  <si>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</si>
  <si>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</si>
  <si>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</si>
  <si>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</si>
  <si>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</si>
  <si>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</si>
  <si>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</si>
  <si>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</si>
  <si>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</si>
  <si>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</si>
  <si>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</si>
  <si>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</si>
  <si>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</si>
  <si>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</si>
  <si>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</si>
  <si>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</si>
  <si>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</si>
  <si>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</si>
  <si>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</si>
  <si>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</si>
  <si>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</si>
  <si>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</si>
  <si>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</si>
  <si>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</si>
  <si>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</si>
  <si>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</si>
  <si>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</si>
  <si>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</si>
  <si>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</si>
  <si>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</si>
  <si>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</si>
  <si>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</si>
  <si>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</si>
  <si>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</si>
  <si>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</si>
  <si>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</si>
  <si>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</si>
  <si>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</si>
  <si>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</si>
  <si>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</si>
  <si>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</si>
  <si>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</si>
  <si>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</si>
  <si>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</si>
  <si>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</si>
  <si>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</si>
  <si>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</si>
  <si>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</si>
  <si>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</si>
  <si>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</si>
  <si>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</si>
  <si>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</si>
  <si>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</si>
  <si>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</si>
  <si>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</si>
  <si>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</si>
  <si>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</si>
  <si>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</si>
  <si>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</si>
  <si>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</si>
  <si>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</si>
  <si>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</si>
  <si>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</si>
  <si>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</si>
  <si>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</si>
  <si>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</si>
  <si>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</si>
  <si>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</si>
  <si>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</si>
  <si>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</si>
  <si>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</si>
  <si>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</si>
  <si>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</si>
  <si>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</si>
  <si>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</si>
  <si>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</si>
  <si>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</si>
  <si>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</si>
  <si>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</si>
  <si>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</si>
  <si>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</si>
  <si>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</si>
  <si>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</si>
  <si>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</si>
  <si>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</si>
  <si>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</si>
  <si>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</si>
  <si>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</si>
  <si>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</si>
  <si>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</si>
  <si>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</si>
  <si>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</si>
  <si>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</si>
  <si>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</si>
  <si>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</si>
  <si>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</si>
  <si>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</si>
  <si>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</si>
  <si>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</si>
  <si>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</si>
  <si>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</si>
  <si>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</si>
  <si>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</si>
  <si>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</si>
  <si>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</si>
  <si>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</si>
  <si>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</si>
  <si>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</si>
  <si>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</si>
  <si>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</si>
  <si>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</si>
  <si>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</si>
  <si>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</si>
  <si>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</si>
  <si>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</si>
  <si>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</si>
  <si>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</si>
  <si>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</si>
  <si>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</si>
  <si>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</si>
  <si>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</si>
  <si>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</si>
  <si>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>2017. évi várható bevétel</t>
  </si>
  <si>
    <t xml:space="preserve">  II.1.(4)2 óvodapedagógusok átlagbérének és közterheinek pótlólagos összege 2017/2017. tanévre</t>
  </si>
  <si>
    <t xml:space="preserve">  .../2017. (……..) önkormányzati rendelet 5. melléklete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</si>
  <si>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</si>
  <si>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</si>
  <si>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</si>
  <si>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</si>
  <si>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</si>
  <si>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</si>
  <si>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</si>
  <si>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</si>
  <si>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</si>
  <si>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</si>
  <si>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</si>
  <si>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</si>
  <si>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</si>
  <si>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</si>
  <si>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</si>
  <si>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</si>
  <si>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</si>
  <si>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</si>
  <si>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</si>
  <si>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</si>
  <si>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</si>
  <si>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</si>
  <si>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</si>
  <si>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</si>
  <si>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</si>
  <si>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</si>
  <si>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</si>
  <si>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</si>
  <si>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</si>
  <si>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</si>
  <si>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</si>
  <si>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</si>
  <si>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</si>
  <si>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</si>
  <si>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</si>
  <si>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</si>
  <si>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</si>
  <si>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</si>
  <si>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</si>
  <si>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</si>
  <si>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</si>
  <si>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</si>
  <si>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</si>
  <si>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</si>
  <si>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Nyírfa utcai projekt (adósságkonsz)</t>
  </si>
  <si>
    <t>Nagyparkoló T jelű belterületi út építáése, forgalomtechnika (adósságkonsz)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</si>
  <si>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</si>
  <si>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</si>
  <si>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</si>
  <si>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</si>
  <si>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</si>
  <si>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</si>
  <si>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</si>
  <si>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>TC Informatika Kft - közterületfigyelő rendszer üzemeltetése</t>
  </si>
  <si>
    <t>SZO/181-28/2016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</si>
  <si>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</si>
  <si>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</si>
  <si>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</si>
  <si>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</si>
  <si>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        8.1.3.2. előző évi vállalkozási maradvány igénybevétele (B8132)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</si>
  <si>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</si>
  <si>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</si>
  <si>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</si>
  <si>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</si>
  <si>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</si>
  <si>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</si>
  <si>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</si>
  <si>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</si>
  <si>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</si>
  <si>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</si>
  <si>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</si>
  <si>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</si>
  <si>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</si>
  <si>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</si>
  <si>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</si>
  <si>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</si>
  <si>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</si>
  <si>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</si>
  <si>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</si>
  <si>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</si>
  <si>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</si>
  <si>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 xml:space="preserve">Zrínyi utca  99-179. házszám közötti szakasz út, közmű és zöldfelületi felújítás ( terv készítés) </t>
  </si>
  <si>
    <t>Fenntartható közlekedés TOP-3.1.1-15-ZA1-2016-00007</t>
  </si>
  <si>
    <t>Hévíz Sortkör felhalmozási támogatás (weboldal fejlesztés)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</si>
  <si>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</si>
  <si>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</si>
  <si>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</si>
  <si>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</si>
  <si>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</si>
  <si>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</si>
  <si>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</si>
  <si>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</si>
  <si>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</si>
  <si>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</si>
  <si>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</si>
  <si>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</si>
  <si>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</si>
  <si>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</si>
  <si>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</si>
  <si>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</si>
  <si>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</si>
  <si>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</si>
  <si>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</si>
  <si>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</si>
  <si>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</si>
  <si>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</si>
  <si>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</si>
  <si>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</si>
  <si>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</si>
  <si>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</si>
  <si>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</si>
  <si>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</si>
  <si>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</si>
  <si>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</si>
  <si>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</si>
  <si>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</si>
  <si>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</si>
  <si>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</si>
  <si>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</si>
  <si>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</si>
  <si>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</si>
  <si>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</si>
  <si>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</si>
  <si>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</si>
  <si>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</si>
  <si>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</si>
  <si>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</si>
  <si>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</si>
  <si>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</si>
  <si>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</si>
  <si>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</si>
  <si>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</si>
  <si>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</si>
  <si>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</si>
  <si>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</si>
  <si>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</si>
  <si>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</si>
  <si>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</si>
  <si>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</si>
  <si>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</si>
  <si>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</si>
  <si>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</si>
  <si>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</si>
  <si>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</si>
  <si>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</si>
  <si>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</si>
  <si>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</si>
  <si>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</si>
  <si>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</si>
  <si>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</si>
  <si>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</si>
  <si>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</si>
  <si>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</si>
  <si>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</si>
  <si>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</si>
  <si>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</si>
  <si>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</si>
  <si>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</si>
  <si>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</si>
  <si>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</si>
  <si>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</si>
  <si>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</si>
  <si>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</si>
  <si>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</si>
  <si>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</si>
  <si>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</si>
  <si>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</si>
  <si>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</si>
  <si>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</si>
  <si>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</si>
  <si>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</si>
  <si>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</si>
  <si>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</si>
  <si>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</si>
  <si>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</si>
  <si>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</si>
  <si>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</si>
  <si>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</si>
  <si>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</si>
  <si>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</si>
  <si>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</si>
  <si>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</si>
  <si>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</si>
  <si>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</si>
  <si>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</si>
  <si>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</si>
  <si>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</si>
  <si>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</si>
  <si>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</si>
  <si>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</si>
  <si>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</si>
  <si>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</si>
  <si>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</si>
  <si>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</si>
  <si>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</si>
  <si>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</si>
  <si>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</si>
  <si>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("Zala két keréken" TOP 3.1.1-15-ZA1-2016-00005 projekt foly. előleg)</t>
    </r>
  </si>
  <si>
    <t>("Zala két keréken" TOP 3.1.1-15-ZA1-2016-00005 projekt foly. előleg)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</si>
  <si>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</si>
  <si>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</si>
  <si>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</si>
  <si>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</si>
  <si>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</si>
  <si>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</si>
  <si>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</si>
  <si>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</si>
  <si>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</si>
  <si>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</si>
  <si>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</si>
  <si>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</si>
  <si>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</si>
  <si>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</si>
  <si>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</si>
  <si>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</si>
  <si>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</si>
  <si>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</si>
  <si>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</si>
  <si>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</si>
  <si>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</si>
  <si>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</si>
  <si>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Hévíz Turizmus Marketing Egyesület [1/2016/2016(I. 28.) Kt.hat.]</t>
  </si>
  <si>
    <t>Hévíz 2102. hrsz-ú ingatlan (+kisajátítási terv)</t>
  </si>
  <si>
    <t xml:space="preserve">              Bölcsődei dajkák, középfokú végzettségű kisgyermeknevelők, szaktanácsadók bértámogatása</t>
  </si>
  <si>
    <t>505701 Vagyongazdálkodás kiadásai</t>
  </si>
  <si>
    <t>505702 Hévíz-Gyógytó kifolyó víz hőszivattyús energia hasznosítása</t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</si>
  <si>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alapján!)</t>
    </r>
  </si>
  <si>
    <r>
      <t xml:space="preserve">Nagyparkoló átalakítása </t>
    </r>
    <r>
      <rPr>
        <b/>
        <sz val="8"/>
        <color rgb="FF0070C0"/>
        <rFont val="Times New Roman"/>
        <family val="1"/>
        <charset val="238"/>
      </rPr>
      <t>(Kormányzati döntés alapján!)</t>
    </r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</si>
  <si>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alapján!)</t>
    </r>
  </si>
  <si>
    <r>
      <rPr>
        <b/>
        <sz val="8"/>
        <rFont val="Times New Roman"/>
        <family val="1"/>
        <charset val="238"/>
      </rPr>
      <t>Hévíz, Zrinyí utca fejlesztés</t>
    </r>
    <r>
      <rPr>
        <b/>
        <sz val="8"/>
        <color rgb="FF0070C0"/>
        <rFont val="Times New Roman"/>
        <family val="1"/>
        <charset val="238"/>
      </rPr>
      <t xml:space="preserve"> (Kormányzati döntés alapján!)</t>
    </r>
  </si>
  <si>
    <r>
      <rPr>
        <sz val="12"/>
        <color indexed="8"/>
        <rFont val="Times New Roman"/>
        <family val="1"/>
        <charset val="238"/>
      </rPr>
      <t>Hitel felvétel</t>
    </r>
    <r>
      <rPr>
        <b/>
        <sz val="12"/>
        <color rgb="FF0070C0"/>
        <rFont val="Times New Roman"/>
        <family val="1"/>
        <charset val="238"/>
      </rPr>
      <t xml:space="preserve"> (Kormányzati döntés alapján!)</t>
    </r>
    <r>
      <rPr>
        <sz val="12"/>
        <color indexed="8"/>
        <rFont val="Times New Roman"/>
        <family val="1"/>
        <charset val="238"/>
      </rPr>
      <t xml:space="preserve"> buszpályaudvar korábbi telekvásárlásra vonatkozó összege </t>
    </r>
  </si>
  <si>
    <t>2/2.</t>
  </si>
  <si>
    <t>2/1.</t>
  </si>
  <si>
    <t>Buszpályaudvar enged.és kiviteli terv (+ láp terület hatástanulmány 6.000 e Ft)</t>
  </si>
  <si>
    <t>Gyógyhelyi főtér kialakítás (kiviteli tervezés)</t>
  </si>
  <si>
    <t>15/1.</t>
  </si>
  <si>
    <t>15/2.</t>
  </si>
  <si>
    <t xml:space="preserve">Piac tervezési módosítás (Pályázatban nem elszámolható! </t>
  </si>
  <si>
    <t>505502 Város és közs.gazd. (Sportszálló alatti Eon vezeték kiváltása)</t>
  </si>
  <si>
    <t>505502 Város és közs.gazd. (Városi sportcsarnok bontása)</t>
  </si>
  <si>
    <t>Magyar Máltai Szeretetszolgálat: Támogató szolgálat</t>
  </si>
  <si>
    <t>Mérték  (2018. évi január 1. napjától)</t>
  </si>
  <si>
    <t xml:space="preserve">2018. évi bevételi terv  </t>
  </si>
  <si>
    <t xml:space="preserve">2018. évi előirányzat összesen </t>
  </si>
  <si>
    <t xml:space="preserve">2018. évi bevételi előirányzat </t>
  </si>
  <si>
    <t>2018. évi terv</t>
  </si>
  <si>
    <t xml:space="preserve">2018.  évi előirányzat </t>
  </si>
  <si>
    <t>Új szinpad (heti 20 óra)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</si>
  <si>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3.103 adótárgy, 281.358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</si>
  <si>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t>Hitelállomány 2018. 01. 01. napján</t>
  </si>
  <si>
    <t>a költségvetési évet követő három évre kihatással járó döntésekből származó kötelezettségek célok szerint, évenkénti bontásban</t>
  </si>
  <si>
    <t>2020.</t>
  </si>
  <si>
    <t>2021.</t>
  </si>
  <si>
    <t>SZO/465-2/2016</t>
  </si>
  <si>
    <t xml:space="preserve">Karsád György János EV </t>
  </si>
  <si>
    <t>Cserna-Szabó András - Hévíz Folyóirat főszerkesztői  feladatok ellátása</t>
  </si>
  <si>
    <t>Fehér Renátó - Héviz Folyóirat szerkesztői feladatok ellátásaSzálinger Balázs - Hévíz Folyóirat főszerkesztői feladatok ellátása</t>
  </si>
  <si>
    <t>PMK/13-2/2017</t>
  </si>
  <si>
    <t>2017.02.25+3év</t>
  </si>
  <si>
    <t>PMK/14-2/2017</t>
  </si>
  <si>
    <t>PMK/14-1/2017</t>
  </si>
  <si>
    <t>SZO/492-1/2017</t>
  </si>
  <si>
    <t>Lukács Péter Dániel - városi rendezvényekről sajtó fotó készités</t>
  </si>
  <si>
    <t>…./2017. 07.12.</t>
  </si>
  <si>
    <t>ZNET Telekom Zrt - internet szolg. (Rózsakert)</t>
  </si>
  <si>
    <t>KGO/217-14/2017</t>
  </si>
  <si>
    <t>CIB Bank Zrt - Önk.Infr.Fejl.Program 2020 - hitel</t>
  </si>
  <si>
    <t>SZO/4-13/2017</t>
  </si>
  <si>
    <t>Dr. Farkas Ügyvédi Iroda</t>
  </si>
  <si>
    <t>KGO/208-1/2017</t>
  </si>
  <si>
    <t>EMoGÁ Kft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</si>
  <si>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</si>
  <si>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2/2018. (I. 25.) önkormányzati rendelet 1/1. melléklete</t>
  </si>
  <si>
    <t>2/2018. (I. 25.) önkormányzati rendelet 1/2. melléklete</t>
  </si>
  <si>
    <t>2/2018. (I. 25.) önkormányzati rendelet 1/3. melléklete</t>
  </si>
  <si>
    <t>2/2018. (I. 25.) önkormányzati rendelet 1/4. melléklete</t>
  </si>
  <si>
    <t>2/2018. (I. 25.) önkormányzati rendelet 1/5. melléklete</t>
  </si>
  <si>
    <t>2/2018. (I. 25.) önkormányzati rendelet 1/6. melléklete</t>
  </si>
  <si>
    <t>2/2018. (I. 25.) önkormányzati rendelet 1/7. melléklete</t>
  </si>
  <si>
    <t>2/2018. (I. 25.) önkormányzati rendelet 1/8. melléklete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</si>
  <si>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</si>
  <si>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2/2018. (I. 25.) önkormányzati rendelet 1/9. melléklete</t>
  </si>
  <si>
    <t>2/2018. (I. 25.) önkormányzati rendelet 2/2. melléklete</t>
  </si>
  <si>
    <t>2/2018. (I. 25.) önkormányzati rendelet 2/3. melléklete</t>
  </si>
  <si>
    <t>2/2018. (I. 25.) önkormányzati rendelet 2/4. melléklete</t>
  </si>
  <si>
    <t>2/2018. (I. 25.) önkormányzati rendelet 3/2. melléklete</t>
  </si>
  <si>
    <t>2/2018. (I. 25.) önkormányzati rendelet 4. melléklete</t>
  </si>
  <si>
    <t>2/2018. (I. 25.) önkormányzati rendelet 5. melléklete</t>
  </si>
  <si>
    <t xml:space="preserve"> 2/2018. (I. 25.) önkormányzati rendelet 6. melléklete</t>
  </si>
  <si>
    <t>2/2018. (I. 25.) önkormányzati rendelet 7. melléklete</t>
  </si>
  <si>
    <t xml:space="preserve">  2/2018. (I. 25.) önkormányzati rendelet 8. melléklete </t>
  </si>
  <si>
    <t>Módosított ei</t>
  </si>
  <si>
    <t>12/1.</t>
  </si>
  <si>
    <t>12/2.</t>
  </si>
  <si>
    <t>Nemzeti Választási Iroda</t>
  </si>
  <si>
    <t>Polgármesteri Hivatal mindösszesen:</t>
  </si>
  <si>
    <t>mód ei</t>
  </si>
  <si>
    <t xml:space="preserve">Mód összeg </t>
  </si>
  <si>
    <t>eredeti ei</t>
  </si>
  <si>
    <t>Nettó eredeti ei</t>
  </si>
  <si>
    <t>ÁFA eredeti ei</t>
  </si>
  <si>
    <t>Bruttó eredeti ei</t>
  </si>
  <si>
    <t>Mód ö</t>
  </si>
  <si>
    <t>Mód köt ei</t>
  </si>
  <si>
    <t>Mód nem köt ei</t>
  </si>
  <si>
    <t>Mód  ei</t>
  </si>
  <si>
    <t>T/1/2.</t>
  </si>
  <si>
    <t>T/1/1.</t>
  </si>
  <si>
    <t>T/2.</t>
  </si>
  <si>
    <t>T/3</t>
  </si>
  <si>
    <t>T/4.</t>
  </si>
  <si>
    <t>2018. …. -i módosított ei</t>
  </si>
  <si>
    <t>Módosító összeg</t>
  </si>
  <si>
    <t>T/1.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</si>
</sst>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  <numFmt numFmtId="171" formatCode="#,##0.0;[Red]#,##0.0"/>
  </numFmts>
  <fonts count="15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2"/>
      <color rgb="FF0070C0"/>
      <name val="Times New Roman"/>
      <family val="1"/>
      <charset val="238"/>
    </font>
    <font>
      <sz val="11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574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3" fillId="0" borderId="0" xfId="0" applyFont="1" applyAlignment="1">
      <alignment wrapText="1"/>
    </xf>
    <xf numFmtId="3" fontId="43" fillId="0" borderId="0" xfId="0" applyNumberFormat="1" applyFont="1"/>
    <xf numFmtId="3" fontId="44" fillId="0" borderId="0" xfId="0" applyNumberFormat="1" applyFont="1"/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1" xfId="0" applyFont="1" applyBorder="1" applyAlignment="1">
      <alignment horizontal="center" wrapText="1"/>
    </xf>
    <xf numFmtId="166" fontId="28" fillId="0" borderId="11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1" xfId="0" applyFont="1" applyFill="1" applyBorder="1" applyAlignment="1">
      <alignment horizontal="left" vertical="center" wrapText="1"/>
    </xf>
    <xf numFmtId="49" fontId="48" fillId="24" borderId="11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1" xfId="0" applyFont="1" applyBorder="1" applyAlignment="1">
      <alignment wrapText="1"/>
    </xf>
    <xf numFmtId="0" fontId="48" fillId="0" borderId="11" xfId="0" applyFont="1" applyBorder="1"/>
    <xf numFmtId="0" fontId="48" fillId="0" borderId="11" xfId="0" applyFont="1" applyBorder="1" applyAlignment="1">
      <alignment horizontal="right"/>
    </xf>
    <xf numFmtId="4" fontId="48" fillId="0" borderId="11" xfId="0" applyNumberFormat="1" applyFont="1" applyBorder="1" applyAlignment="1">
      <alignment horizontal="right"/>
    </xf>
    <xf numFmtId="167" fontId="48" fillId="0" borderId="11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3" xfId="0" applyFont="1" applyBorder="1" applyAlignment="1">
      <alignment wrapText="1"/>
    </xf>
    <xf numFmtId="0" fontId="48" fillId="0" borderId="13" xfId="0" applyFont="1" applyBorder="1"/>
    <xf numFmtId="0" fontId="48" fillId="0" borderId="13" xfId="0" applyFont="1" applyBorder="1" applyAlignment="1">
      <alignment horizontal="right"/>
    </xf>
    <xf numFmtId="0" fontId="54" fillId="0" borderId="13" xfId="0" applyFont="1" applyBorder="1" applyAlignment="1">
      <alignment horizontal="right"/>
    </xf>
    <xf numFmtId="0" fontId="48" fillId="0" borderId="13" xfId="0" applyFont="1" applyBorder="1" applyAlignment="1"/>
    <xf numFmtId="0" fontId="54" fillId="0" borderId="11" xfId="0" applyFont="1" applyBorder="1" applyAlignment="1">
      <alignment wrapText="1"/>
    </xf>
    <xf numFmtId="0" fontId="54" fillId="0" borderId="11" xfId="0" applyFont="1" applyBorder="1"/>
    <xf numFmtId="0" fontId="54" fillId="0" borderId="11" xfId="0" applyFont="1" applyBorder="1" applyAlignment="1">
      <alignment horizontal="right"/>
    </xf>
    <xf numFmtId="0" fontId="50" fillId="0" borderId="11" xfId="0" applyFont="1" applyBorder="1" applyAlignment="1">
      <alignment horizontal="right"/>
    </xf>
    <xf numFmtId="0" fontId="50" fillId="0" borderId="14" xfId="0" applyFont="1" applyBorder="1" applyAlignment="1">
      <alignment wrapText="1"/>
    </xf>
    <xf numFmtId="0" fontId="50" fillId="0" borderId="14" xfId="0" applyFont="1" applyBorder="1"/>
    <xf numFmtId="0" fontId="50" fillId="0" borderId="14" xfId="0" applyFont="1" applyBorder="1" applyAlignment="1">
      <alignment horizontal="right"/>
    </xf>
    <xf numFmtId="0" fontId="48" fillId="0" borderId="14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3" xfId="0" applyFont="1" applyBorder="1" applyAlignment="1">
      <alignment wrapText="1"/>
    </xf>
    <xf numFmtId="0" fontId="55" fillId="0" borderId="11" xfId="0" applyFont="1" applyBorder="1"/>
    <xf numFmtId="0" fontId="55" fillId="0" borderId="11" xfId="0" applyFont="1" applyBorder="1" applyAlignment="1">
      <alignment wrapText="1"/>
    </xf>
    <xf numFmtId="49" fontId="48" fillId="0" borderId="11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/>
    <xf numFmtId="0" fontId="28" fillId="0" borderId="0" xfId="78" applyFont="1"/>
    <xf numFmtId="0" fontId="60" fillId="0" borderId="0" xfId="78" applyFont="1"/>
    <xf numFmtId="0" fontId="61" fillId="0" borderId="0" xfId="78" applyFont="1"/>
    <xf numFmtId="0" fontId="30" fillId="0" borderId="0" xfId="78" applyFont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8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19" xfId="0" applyFont="1" applyBorder="1" applyAlignment="1">
      <alignment wrapText="1"/>
    </xf>
    <xf numFmtId="0" fontId="50" fillId="0" borderId="19" xfId="0" applyFont="1" applyBorder="1"/>
    <xf numFmtId="0" fontId="50" fillId="0" borderId="19" xfId="0" applyFont="1" applyBorder="1" applyAlignment="1">
      <alignment horizontal="right"/>
    </xf>
    <xf numFmtId="0" fontId="48" fillId="0" borderId="19" xfId="0" applyFont="1" applyBorder="1" applyAlignment="1">
      <alignment horizontal="right"/>
    </xf>
    <xf numFmtId="3" fontId="69" fillId="0" borderId="11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64" fillId="0" borderId="20" xfId="0" applyNumberFormat="1" applyFont="1" applyBorder="1"/>
    <xf numFmtId="3" fontId="57" fillId="0" borderId="21" xfId="0" applyNumberFormat="1" applyFont="1" applyBorder="1"/>
    <xf numFmtId="3" fontId="64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0" fontId="24" fillId="0" borderId="11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horizontal="center"/>
    </xf>
    <xf numFmtId="0" fontId="64" fillId="0" borderId="14" xfId="0" applyFont="1" applyBorder="1"/>
    <xf numFmtId="3" fontId="25" fillId="0" borderId="14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1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7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3" fontId="64" fillId="0" borderId="0" xfId="0" applyNumberFormat="1" applyFont="1" applyBorder="1" applyAlignment="1">
      <alignment wrapText="1"/>
    </xf>
    <xf numFmtId="0" fontId="25" fillId="0" borderId="12" xfId="0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6" fillId="0" borderId="0" xfId="71" applyFont="1" applyAlignment="1">
      <alignment vertical="center"/>
    </xf>
    <xf numFmtId="3" fontId="75" fillId="0" borderId="30" xfId="71" applyNumberFormat="1" applyFont="1" applyFill="1" applyBorder="1" applyAlignment="1">
      <alignment horizontal="center" vertical="center" wrapText="1"/>
    </xf>
    <xf numFmtId="0" fontId="56" fillId="0" borderId="23" xfId="71" applyFont="1" applyBorder="1" applyAlignment="1">
      <alignment vertical="center"/>
    </xf>
    <xf numFmtId="3" fontId="22" fillId="0" borderId="23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3" fontId="25" fillId="0" borderId="31" xfId="0" applyNumberFormat="1" applyFont="1" applyBorder="1"/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2" xfId="0" applyNumberFormat="1" applyFont="1" applyBorder="1" applyAlignment="1">
      <alignment horizontal="center" vertical="center"/>
    </xf>
    <xf numFmtId="3" fontId="64" fillId="0" borderId="33" xfId="0" applyNumberFormat="1" applyFont="1" applyBorder="1" applyAlignment="1">
      <alignment horizontal="center" vertical="center" wrapText="1"/>
    </xf>
    <xf numFmtId="3" fontId="64" fillId="0" borderId="34" xfId="0" applyNumberFormat="1" applyFont="1" applyBorder="1" applyAlignment="1">
      <alignment horizontal="center" vertical="center" wrapText="1"/>
    </xf>
    <xf numFmtId="0" fontId="57" fillId="0" borderId="22" xfId="0" applyFont="1" applyBorder="1" applyAlignment="1">
      <alignment horizontal="right"/>
    </xf>
    <xf numFmtId="0" fontId="57" fillId="0" borderId="0" xfId="0" applyFont="1" applyFill="1" applyBorder="1"/>
    <xf numFmtId="3" fontId="57" fillId="0" borderId="35" xfId="0" applyNumberFormat="1" applyFont="1" applyFill="1" applyBorder="1"/>
    <xf numFmtId="3" fontId="57" fillId="0" borderId="18" xfId="0" applyNumberFormat="1" applyFont="1" applyFill="1" applyBorder="1"/>
    <xf numFmtId="3" fontId="57" fillId="0" borderId="0" xfId="0" applyNumberFormat="1" applyFont="1" applyFill="1" applyBorder="1"/>
    <xf numFmtId="3" fontId="64" fillId="0" borderId="22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1" xfId="0" applyNumberFormat="1" applyFont="1" applyFill="1" applyBorder="1"/>
    <xf numFmtId="0" fontId="57" fillId="0" borderId="36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/>
    <xf numFmtId="0" fontId="22" fillId="0" borderId="0" xfId="0" applyFont="1" applyBorder="1"/>
    <xf numFmtId="3" fontId="24" fillId="0" borderId="0" xfId="0" applyNumberFormat="1" applyFont="1" applyBorder="1"/>
    <xf numFmtId="0" fontId="22" fillId="0" borderId="0" xfId="0" applyFont="1" applyAlignment="1">
      <alignment wrapText="1"/>
    </xf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37" xfId="0" applyNumberFormat="1" applyFont="1" applyBorder="1" applyAlignment="1">
      <alignment horizontal="center" vertical="center" wrapText="1"/>
    </xf>
    <xf numFmtId="0" fontId="43" fillId="0" borderId="25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24" fillId="0" borderId="0" xfId="0" applyFont="1" applyAlignment="1">
      <alignment horizontal="center" wrapText="1"/>
    </xf>
    <xf numFmtId="0" fontId="22" fillId="0" borderId="25" xfId="0" applyFont="1" applyBorder="1"/>
    <xf numFmtId="0" fontId="22" fillId="0" borderId="21" xfId="0" applyFont="1" applyBorder="1"/>
    <xf numFmtId="3" fontId="22" fillId="0" borderId="21" xfId="0" applyNumberFormat="1" applyFont="1" applyBorder="1"/>
    <xf numFmtId="0" fontId="24" fillId="0" borderId="0" xfId="0" applyFont="1" applyAlignment="1">
      <alignment wrapText="1"/>
    </xf>
    <xf numFmtId="3" fontId="24" fillId="0" borderId="25" xfId="0" applyNumberFormat="1" applyFont="1" applyBorder="1"/>
    <xf numFmtId="0" fontId="22" fillId="0" borderId="23" xfId="0" applyFont="1" applyBorder="1" applyAlignment="1">
      <alignment horizontal="center"/>
    </xf>
    <xf numFmtId="3" fontId="24" fillId="0" borderId="42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1" xfId="0" applyNumberFormat="1" applyFont="1" applyBorder="1" applyAlignment="1">
      <alignment horizontal="right"/>
    </xf>
    <xf numFmtId="0" fontId="48" fillId="0" borderId="14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3" xfId="0" applyFont="1" applyBorder="1" applyAlignment="1">
      <alignment wrapText="1"/>
    </xf>
    <xf numFmtId="0" fontId="48" fillId="0" borderId="23" xfId="0" applyFont="1" applyBorder="1"/>
    <xf numFmtId="0" fontId="50" fillId="0" borderId="23" xfId="0" applyFont="1" applyBorder="1" applyAlignment="1">
      <alignment horizontal="right"/>
    </xf>
    <xf numFmtId="0" fontId="54" fillId="0" borderId="23" xfId="0" applyFont="1" applyBorder="1" applyAlignment="1">
      <alignment horizontal="right"/>
    </xf>
    <xf numFmtId="0" fontId="48" fillId="0" borderId="23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3" xfId="0" applyFont="1" applyBorder="1"/>
    <xf numFmtId="0" fontId="55" fillId="0" borderId="23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3" xfId="71" applyNumberFormat="1" applyFont="1" applyFill="1" applyBorder="1" applyAlignment="1">
      <alignment horizontal="center" vertical="center" wrapText="1"/>
    </xf>
    <xf numFmtId="3" fontId="75" fillId="0" borderId="44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1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22" fillId="0" borderId="45" xfId="0" applyFont="1" applyBorder="1"/>
    <xf numFmtId="0" fontId="25" fillId="0" borderId="27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 applyAlignment="1">
      <alignment horizontal="center" vertical="center"/>
    </xf>
    <xf numFmtId="3" fontId="59" fillId="0" borderId="31" xfId="0" applyNumberFormat="1" applyFont="1" applyBorder="1"/>
    <xf numFmtId="0" fontId="83" fillId="0" borderId="0" xfId="0" applyFont="1"/>
    <xf numFmtId="3" fontId="64" fillId="0" borderId="48" xfId="0" applyNumberFormat="1" applyFont="1" applyBorder="1" applyAlignment="1">
      <alignment horizontal="center" vertical="center" wrapText="1"/>
    </xf>
    <xf numFmtId="3" fontId="64" fillId="0" borderId="49" xfId="0" applyNumberFormat="1" applyFont="1" applyBorder="1" applyAlignment="1">
      <alignment horizontal="center" vertical="center"/>
    </xf>
    <xf numFmtId="3" fontId="64" fillId="0" borderId="50" xfId="0" applyNumberFormat="1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 applyAlignment="1">
      <alignment horizontal="right" vertical="center" wrapText="1"/>
    </xf>
    <xf numFmtId="3" fontId="64" fillId="0" borderId="54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5" xfId="0" applyNumberFormat="1" applyFont="1" applyBorder="1" applyAlignment="1">
      <alignment horizontal="right"/>
    </xf>
    <xf numFmtId="3" fontId="59" fillId="0" borderId="56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3" fontId="25" fillId="0" borderId="57" xfId="0" applyNumberFormat="1" applyFont="1" applyBorder="1"/>
    <xf numFmtId="3" fontId="25" fillId="0" borderId="58" xfId="0" applyNumberFormat="1" applyFont="1" applyBorder="1"/>
    <xf numFmtId="0" fontId="28" fillId="0" borderId="0" xfId="0" applyFont="1" applyAlignment="1">
      <alignment horizontal="center" vertical="center"/>
    </xf>
    <xf numFmtId="3" fontId="64" fillId="0" borderId="38" xfId="0" applyNumberFormat="1" applyFont="1" applyBorder="1"/>
    <xf numFmtId="3" fontId="27" fillId="0" borderId="0" xfId="0" applyNumberFormat="1" applyFont="1" applyAlignment="1">
      <alignment horizontal="right"/>
    </xf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58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0" xfId="0" applyNumberFormat="1" applyFont="1" applyFill="1" applyBorder="1"/>
    <xf numFmtId="3" fontId="64" fillId="0" borderId="61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1" xfId="0" applyNumberFormat="1" applyFont="1" applyBorder="1" applyAlignment="1">
      <alignment horizontal="center" vertical="center" wrapText="1"/>
    </xf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30" fillId="0" borderId="62" xfId="0" applyNumberFormat="1" applyFont="1" applyBorder="1"/>
    <xf numFmtId="3" fontId="30" fillId="0" borderId="63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3" xfId="72" applyNumberFormat="1" applyFont="1" applyBorder="1" applyAlignment="1">
      <alignment horizontal="center"/>
    </xf>
    <xf numFmtId="0" fontId="100" fillId="0" borderId="23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3" xfId="72" applyNumberFormat="1" applyFont="1" applyBorder="1" applyAlignment="1"/>
    <xf numFmtId="3" fontId="105" fillId="0" borderId="0" xfId="0" applyNumberFormat="1" applyFont="1"/>
    <xf numFmtId="3" fontId="30" fillId="0" borderId="64" xfId="0" applyNumberFormat="1" applyFont="1" applyBorder="1"/>
    <xf numFmtId="3" fontId="57" fillId="0" borderId="64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3" xfId="73" applyFont="1" applyBorder="1" applyAlignment="1">
      <alignment horizontal="center"/>
    </xf>
    <xf numFmtId="0" fontId="53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66" xfId="0" applyNumberFormat="1" applyFont="1" applyBorder="1"/>
    <xf numFmtId="3" fontId="58" fillId="0" borderId="64" xfId="74" applyNumberFormat="1" applyFont="1" applyBorder="1"/>
    <xf numFmtId="3" fontId="58" fillId="0" borderId="64" xfId="0" applyNumberFormat="1" applyFont="1" applyBorder="1"/>
    <xf numFmtId="3" fontId="35" fillId="0" borderId="64" xfId="0" applyNumberFormat="1" applyFont="1" applyBorder="1"/>
    <xf numFmtId="3" fontId="39" fillId="0" borderId="64" xfId="0" applyNumberFormat="1" applyFont="1" applyBorder="1"/>
    <xf numFmtId="3" fontId="66" fillId="0" borderId="64" xfId="0" applyNumberFormat="1" applyFont="1" applyBorder="1"/>
    <xf numFmtId="0" fontId="30" fillId="0" borderId="64" xfId="0" applyFont="1" applyBorder="1"/>
    <xf numFmtId="3" fontId="30" fillId="0" borderId="65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1" xfId="0" applyNumberFormat="1" applyFont="1" applyBorder="1" applyAlignment="1">
      <alignment horizontal="right"/>
    </xf>
    <xf numFmtId="3" fontId="44" fillId="0" borderId="23" xfId="0" applyNumberFormat="1" applyFont="1" applyBorder="1" applyAlignment="1">
      <alignment horizontal="center" vertical="center"/>
    </xf>
    <xf numFmtId="0" fontId="44" fillId="0" borderId="23" xfId="0" applyFont="1" applyBorder="1" applyAlignment="1">
      <alignment horizontal="center"/>
    </xf>
    <xf numFmtId="3" fontId="53" fillId="0" borderId="23" xfId="0" applyNumberFormat="1" applyFont="1" applyBorder="1"/>
    <xf numFmtId="0" fontId="53" fillId="0" borderId="23" xfId="0" applyFont="1" applyBorder="1"/>
    <xf numFmtId="3" fontId="58" fillId="0" borderId="18" xfId="0" applyNumberFormat="1" applyFont="1" applyBorder="1"/>
    <xf numFmtId="3" fontId="58" fillId="0" borderId="18" xfId="0" applyNumberFormat="1" applyFont="1" applyFill="1" applyBorder="1"/>
    <xf numFmtId="3" fontId="58" fillId="0" borderId="21" xfId="0" applyNumberFormat="1" applyFont="1" applyBorder="1"/>
    <xf numFmtId="3" fontId="58" fillId="0" borderId="0" xfId="0" applyNumberFormat="1" applyFont="1" applyFill="1" applyBorder="1"/>
    <xf numFmtId="3" fontId="59" fillId="0" borderId="69" xfId="0" applyNumberFormat="1" applyFont="1" applyBorder="1"/>
    <xf numFmtId="3" fontId="64" fillId="0" borderId="70" xfId="0" applyNumberFormat="1" applyFont="1" applyBorder="1" applyAlignment="1">
      <alignment horizontal="right" vertical="center" wrapText="1"/>
    </xf>
    <xf numFmtId="3" fontId="64" fillId="0" borderId="71" xfId="0" applyNumberFormat="1" applyFont="1" applyBorder="1" applyAlignment="1">
      <alignment horizontal="center" vertical="center" wrapText="1"/>
    </xf>
    <xf numFmtId="0" fontId="25" fillId="0" borderId="26" xfId="0" applyFont="1" applyBorder="1"/>
    <xf numFmtId="0" fontId="48" fillId="0" borderId="27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1" xfId="0" applyNumberFormat="1" applyFont="1" applyFill="1" applyBorder="1" applyAlignment="1">
      <alignment horizontal="right" vertical="center"/>
    </xf>
    <xf numFmtId="0" fontId="30" fillId="0" borderId="21" xfId="0" applyFont="1" applyBorder="1"/>
    <xf numFmtId="0" fontId="57" fillId="0" borderId="0" xfId="0" applyFont="1" applyBorder="1" applyAlignment="1">
      <alignment horizontal="left"/>
    </xf>
    <xf numFmtId="3" fontId="57" fillId="0" borderId="21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6" xfId="0" applyFont="1" applyFill="1" applyBorder="1" applyAlignment="1"/>
    <xf numFmtId="3" fontId="57" fillId="0" borderId="72" xfId="0" applyNumberFormat="1" applyFont="1" applyFill="1" applyBorder="1"/>
    <xf numFmtId="3" fontId="57" fillId="0" borderId="64" xfId="0" applyNumberFormat="1" applyFont="1" applyBorder="1" applyAlignment="1">
      <alignment horizontal="center" vertical="center" wrapText="1"/>
    </xf>
    <xf numFmtId="3" fontId="64" fillId="0" borderId="64" xfId="0" applyNumberFormat="1" applyFont="1" applyBorder="1"/>
    <xf numFmtId="3" fontId="59" fillId="0" borderId="64" xfId="0" applyNumberFormat="1" applyFont="1" applyBorder="1"/>
    <xf numFmtId="3" fontId="64" fillId="0" borderId="73" xfId="0" applyNumberFormat="1" applyFont="1" applyFill="1" applyBorder="1"/>
    <xf numFmtId="3" fontId="64" fillId="0" borderId="55" xfId="0" applyNumberFormat="1" applyFont="1" applyBorder="1" applyAlignment="1">
      <alignment horizontal="right" vertical="center" wrapText="1"/>
    </xf>
    <xf numFmtId="0" fontId="64" fillId="0" borderId="74" xfId="0" applyFont="1" applyFill="1" applyBorder="1" applyAlignment="1"/>
    <xf numFmtId="3" fontId="64" fillId="0" borderId="47" xfId="0" applyNumberFormat="1" applyFont="1" applyFill="1" applyBorder="1"/>
    <xf numFmtId="3" fontId="64" fillId="0" borderId="60" xfId="0" applyNumberFormat="1" applyFont="1" applyBorder="1"/>
    <xf numFmtId="3" fontId="64" fillId="0" borderId="75" xfId="0" applyNumberFormat="1" applyFont="1" applyBorder="1"/>
    <xf numFmtId="3" fontId="64" fillId="0" borderId="76" xfId="0" applyNumberFormat="1" applyFont="1" applyBorder="1"/>
    <xf numFmtId="3" fontId="64" fillId="0" borderId="64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3" fontId="92" fillId="0" borderId="0" xfId="0" applyNumberFormat="1" applyFont="1"/>
    <xf numFmtId="3" fontId="92" fillId="0" borderId="21" xfId="0" applyNumberFormat="1" applyFont="1" applyBorder="1"/>
    <xf numFmtId="0" fontId="57" fillId="0" borderId="21" xfId="0" applyFont="1" applyBorder="1"/>
    <xf numFmtId="165" fontId="48" fillId="0" borderId="27" xfId="0" applyNumberFormat="1" applyFont="1" applyBorder="1" applyAlignment="1">
      <alignment horizontal="right"/>
    </xf>
    <xf numFmtId="3" fontId="59" fillId="0" borderId="60" xfId="0" applyNumberFormat="1" applyFont="1" applyFill="1" applyBorder="1"/>
    <xf numFmtId="3" fontId="59" fillId="0" borderId="75" xfId="0" applyNumberFormat="1" applyFont="1" applyFill="1" applyBorder="1"/>
    <xf numFmtId="3" fontId="56" fillId="0" borderId="0" xfId="71" applyNumberFormat="1" applyFont="1" applyAlignment="1">
      <alignment horizontal="right" vertical="center"/>
    </xf>
    <xf numFmtId="0" fontId="32" fillId="0" borderId="23" xfId="71" applyFont="1" applyBorder="1" applyAlignment="1">
      <alignment vertical="center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3" fontId="35" fillId="0" borderId="23" xfId="71" applyNumberFormat="1" applyFont="1" applyFill="1" applyBorder="1" applyAlignment="1">
      <alignment vertical="center" wrapText="1"/>
    </xf>
    <xf numFmtId="0" fontId="31" fillId="0" borderId="23" xfId="71" applyFont="1" applyBorder="1" applyAlignment="1">
      <alignment vertical="center"/>
    </xf>
    <xf numFmtId="165" fontId="23" fillId="0" borderId="23" xfId="71" applyNumberFormat="1" applyFont="1" applyFill="1" applyBorder="1" applyAlignment="1">
      <alignment vertical="center"/>
    </xf>
    <xf numFmtId="165" fontId="23" fillId="0" borderId="23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5" xfId="71" applyFont="1" applyBorder="1" applyAlignment="1">
      <alignment vertical="center"/>
    </xf>
    <xf numFmtId="3" fontId="22" fillId="0" borderId="45" xfId="71" applyNumberFormat="1" applyFont="1" applyFill="1" applyBorder="1" applyAlignment="1">
      <alignment vertical="center"/>
    </xf>
    <xf numFmtId="0" fontId="32" fillId="0" borderId="45" xfId="71" applyFont="1" applyBorder="1" applyAlignment="1">
      <alignment vertical="center"/>
    </xf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0" xfId="0" applyFont="1" applyBorder="1"/>
    <xf numFmtId="0" fontId="57" fillId="0" borderId="64" xfId="0" applyFont="1" applyBorder="1"/>
    <xf numFmtId="0" fontId="57" fillId="0" borderId="67" xfId="0" applyFont="1" applyBorder="1"/>
    <xf numFmtId="3" fontId="64" fillId="0" borderId="67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0" fontId="28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5" xfId="0" applyNumberFormat="1" applyFont="1" applyFill="1" applyBorder="1"/>
    <xf numFmtId="3" fontId="24" fillId="0" borderId="25" xfId="0" applyNumberFormat="1" applyFont="1" applyFill="1" applyBorder="1"/>
    <xf numFmtId="3" fontId="22" fillId="0" borderId="45" xfId="0" applyNumberFormat="1" applyFont="1" applyFill="1" applyBorder="1"/>
    <xf numFmtId="3" fontId="58" fillId="0" borderId="18" xfId="0" applyNumberFormat="1" applyFont="1" applyBorder="1" applyAlignment="1">
      <alignment horizontal="righ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0" fontId="32" fillId="0" borderId="21" xfId="71" applyFont="1" applyBorder="1" applyAlignment="1">
      <alignment vertical="center"/>
    </xf>
    <xf numFmtId="0" fontId="1" fillId="0" borderId="21" xfId="70" applyBorder="1" applyAlignment="1">
      <alignment vertical="center"/>
    </xf>
    <xf numFmtId="0" fontId="32" fillId="0" borderId="21" xfId="71" applyFont="1" applyBorder="1" applyAlignment="1">
      <alignment vertical="center" wrapText="1"/>
    </xf>
    <xf numFmtId="0" fontId="106" fillId="0" borderId="21" xfId="71" applyFont="1" applyBorder="1" applyAlignment="1">
      <alignment horizontal="center" vertical="center" wrapText="1"/>
    </xf>
    <xf numFmtId="0" fontId="33" fillId="0" borderId="21" xfId="70" applyFont="1" applyBorder="1" applyAlignment="1">
      <alignment vertical="center" wrapText="1"/>
    </xf>
    <xf numFmtId="0" fontId="1" fillId="0" borderId="21" xfId="70" applyBorder="1" applyAlignment="1">
      <alignment vertical="center" wrapText="1"/>
    </xf>
    <xf numFmtId="0" fontId="107" fillId="0" borderId="21" xfId="71" applyFont="1" applyBorder="1" applyAlignment="1">
      <alignment vertical="center" wrapText="1"/>
    </xf>
    <xf numFmtId="0" fontId="35" fillId="0" borderId="21" xfId="0" applyFont="1" applyBorder="1" applyAlignment="1"/>
    <xf numFmtId="0" fontId="66" fillId="0" borderId="21" xfId="0" applyFont="1" applyBorder="1"/>
    <xf numFmtId="0" fontId="23" fillId="0" borderId="21" xfId="0" applyFont="1" applyBorder="1"/>
    <xf numFmtId="0" fontId="20" fillId="0" borderId="21" xfId="0" applyFont="1" applyBorder="1"/>
    <xf numFmtId="0" fontId="30" fillId="0" borderId="21" xfId="0" applyFont="1" applyBorder="1" applyAlignment="1">
      <alignment horizontal="center" vertical="center" wrapText="1"/>
    </xf>
    <xf numFmtId="3" fontId="37" fillId="0" borderId="0" xfId="78" applyNumberFormat="1" applyFont="1" applyBorder="1"/>
    <xf numFmtId="3" fontId="43" fillId="0" borderId="41" xfId="0" applyNumberFormat="1" applyFont="1" applyBorder="1"/>
    <xf numFmtId="3" fontId="42" fillId="0" borderId="78" xfId="0" applyNumberFormat="1" applyFont="1" applyBorder="1"/>
    <xf numFmtId="0" fontId="42" fillId="0" borderId="79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48" fillId="0" borderId="0" xfId="0" applyNumberFormat="1" applyFont="1" applyBorder="1" applyAlignment="1">
      <alignment horizontal="right"/>
    </xf>
    <xf numFmtId="0" fontId="54" fillId="0" borderId="14" xfId="0" applyFont="1" applyBorder="1" applyAlignment="1">
      <alignment wrapText="1"/>
    </xf>
    <xf numFmtId="0" fontId="48" fillId="0" borderId="19" xfId="0" applyFont="1" applyBorder="1" applyAlignment="1">
      <alignment wrapText="1"/>
    </xf>
    <xf numFmtId="0" fontId="48" fillId="0" borderId="19" xfId="0" applyFont="1" applyBorder="1"/>
    <xf numFmtId="0" fontId="54" fillId="0" borderId="19" xfId="0" applyFont="1" applyBorder="1" applyAlignment="1">
      <alignment horizontal="right"/>
    </xf>
    <xf numFmtId="4" fontId="48" fillId="0" borderId="19" xfId="0" applyNumberFormat="1" applyFont="1" applyBorder="1" applyAlignment="1">
      <alignment horizontal="right"/>
    </xf>
    <xf numFmtId="1" fontId="48" fillId="0" borderId="23" xfId="0" applyNumberFormat="1" applyFont="1" applyBorder="1" applyAlignment="1">
      <alignment horizontal="right"/>
    </xf>
    <xf numFmtId="0" fontId="55" fillId="0" borderId="14" xfId="0" applyFont="1" applyBorder="1" applyAlignment="1">
      <alignment wrapText="1"/>
    </xf>
    <xf numFmtId="3" fontId="120" fillId="0" borderId="23" xfId="71" applyNumberFormat="1" applyFont="1" applyBorder="1" applyAlignment="1">
      <alignment vertical="center"/>
    </xf>
    <xf numFmtId="0" fontId="54" fillId="0" borderId="0" xfId="72" applyFont="1" applyAlignment="1">
      <alignment horizontal="center"/>
    </xf>
    <xf numFmtId="0" fontId="48" fillId="0" borderId="23" xfId="72" applyFont="1" applyBorder="1" applyAlignment="1">
      <alignment horizontal="center"/>
    </xf>
    <xf numFmtId="0" fontId="48" fillId="0" borderId="23" xfId="72" applyFont="1" applyFill="1" applyBorder="1" applyAlignment="1">
      <alignment horizontal="center"/>
    </xf>
    <xf numFmtId="49" fontId="100" fillId="0" borderId="23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3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2" fontId="23" fillId="0" borderId="23" xfId="71" applyNumberFormat="1" applyFont="1" applyFill="1" applyBorder="1" applyAlignment="1">
      <alignment vertical="center"/>
    </xf>
    <xf numFmtId="3" fontId="23" fillId="0" borderId="23" xfId="71" applyNumberFormat="1" applyFont="1" applyFill="1" applyBorder="1" applyAlignment="1">
      <alignment vertical="center" shrinkToFit="1"/>
    </xf>
    <xf numFmtId="3" fontId="121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3" fontId="127" fillId="0" borderId="23" xfId="71" applyNumberFormat="1" applyFont="1" applyFill="1" applyBorder="1" applyAlignment="1">
      <alignment vertical="center"/>
    </xf>
    <xf numFmtId="0" fontId="120" fillId="0" borderId="23" xfId="71" applyFont="1" applyBorder="1" applyAlignment="1">
      <alignment vertical="center"/>
    </xf>
    <xf numFmtId="4" fontId="120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3" xfId="71" applyFont="1" applyBorder="1" applyAlignment="1">
      <alignment vertical="center"/>
    </xf>
    <xf numFmtId="167" fontId="31" fillId="0" borderId="23" xfId="71" applyNumberFormat="1" applyFont="1" applyBorder="1" applyAlignment="1">
      <alignment vertical="center"/>
    </xf>
    <xf numFmtId="4" fontId="121" fillId="0" borderId="23" xfId="71" applyNumberFormat="1" applyFont="1" applyFill="1" applyBorder="1" applyAlignment="1">
      <alignment vertical="center"/>
    </xf>
    <xf numFmtId="3" fontId="128" fillId="0" borderId="23" xfId="71" applyNumberFormat="1" applyFont="1" applyFill="1" applyBorder="1" applyAlignment="1">
      <alignment vertical="center" wrapText="1"/>
    </xf>
    <xf numFmtId="0" fontId="120" fillId="0" borderId="23" xfId="71" applyFont="1" applyBorder="1" applyAlignment="1">
      <alignment vertical="center" wrapText="1"/>
    </xf>
    <xf numFmtId="3" fontId="35" fillId="0" borderId="23" xfId="71" applyNumberFormat="1" applyFont="1" applyFill="1" applyBorder="1" applyAlignment="1">
      <alignment vertical="center" shrinkToFit="1"/>
    </xf>
    <xf numFmtId="164" fontId="121" fillId="0" borderId="23" xfId="71" applyNumberFormat="1" applyFont="1" applyFill="1" applyBorder="1" applyAlignment="1">
      <alignment vertical="center"/>
    </xf>
    <xf numFmtId="165" fontId="121" fillId="0" borderId="23" xfId="71" applyNumberFormat="1" applyFont="1" applyFill="1" applyBorder="1" applyAlignment="1">
      <alignment vertical="center"/>
    </xf>
    <xf numFmtId="168" fontId="121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Border="1" applyAlignment="1">
      <alignment vertical="center"/>
    </xf>
    <xf numFmtId="3" fontId="121" fillId="0" borderId="23" xfId="71" applyNumberFormat="1" applyFont="1" applyBorder="1" applyAlignment="1">
      <alignment horizontal="right" vertical="center"/>
    </xf>
    <xf numFmtId="165" fontId="121" fillId="0" borderId="23" xfId="71" applyNumberFormat="1" applyFont="1" applyBorder="1" applyAlignment="1">
      <alignment vertical="center"/>
    </xf>
    <xf numFmtId="0" fontId="129" fillId="0" borderId="23" xfId="75" applyFont="1" applyBorder="1" applyAlignment="1">
      <alignment vertical="center"/>
    </xf>
    <xf numFmtId="3" fontId="121" fillId="0" borderId="23" xfId="75" applyNumberFormat="1" applyFont="1" applyBorder="1" applyAlignment="1">
      <alignment vertical="center"/>
    </xf>
    <xf numFmtId="0" fontId="110" fillId="0" borderId="23" xfId="71" applyFont="1" applyBorder="1" applyAlignment="1">
      <alignment vertical="center" wrapText="1"/>
    </xf>
    <xf numFmtId="9" fontId="121" fillId="0" borderId="23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 wrapText="1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0" fontId="110" fillId="0" borderId="83" xfId="71" applyFont="1" applyFill="1" applyBorder="1" applyAlignment="1">
      <alignment vertical="center"/>
    </xf>
    <xf numFmtId="3" fontId="130" fillId="0" borderId="60" xfId="71" applyNumberFormat="1" applyFont="1" applyFill="1" applyBorder="1" applyAlignment="1">
      <alignment vertical="center"/>
    </xf>
    <xf numFmtId="3" fontId="130" fillId="0" borderId="75" xfId="71" applyNumberFormat="1" applyFont="1" applyFill="1" applyBorder="1" applyAlignment="1">
      <alignment vertical="center"/>
    </xf>
    <xf numFmtId="3" fontId="130" fillId="0" borderId="31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84" xfId="0" applyFont="1" applyBorder="1"/>
    <xf numFmtId="0" fontId="50" fillId="0" borderId="84" xfId="0" applyFont="1" applyBorder="1" applyAlignment="1">
      <alignment horizontal="right"/>
    </xf>
    <xf numFmtId="0" fontId="54" fillId="0" borderId="84" xfId="0" applyFont="1" applyBorder="1" applyAlignment="1">
      <alignment horizontal="right"/>
    </xf>
    <xf numFmtId="0" fontId="48" fillId="0" borderId="84" xfId="0" applyFont="1" applyBorder="1" applyAlignment="1">
      <alignment horizontal="right"/>
    </xf>
    <xf numFmtId="4" fontId="48" fillId="0" borderId="84" xfId="0" applyNumberFormat="1" applyFont="1" applyBorder="1" applyAlignment="1">
      <alignment horizontal="right"/>
    </xf>
    <xf numFmtId="0" fontId="48" fillId="0" borderId="42" xfId="0" applyFont="1" applyBorder="1" applyAlignment="1">
      <alignment shrinkToFit="1"/>
    </xf>
    <xf numFmtId="0" fontId="54" fillId="0" borderId="81" xfId="0" applyFont="1" applyBorder="1"/>
    <xf numFmtId="0" fontId="55" fillId="0" borderId="81" xfId="0" applyFont="1" applyBorder="1" applyAlignment="1">
      <alignment horizontal="right"/>
    </xf>
    <xf numFmtId="0" fontId="54" fillId="0" borderId="81" xfId="0" applyFont="1" applyBorder="1" applyAlignment="1">
      <alignment horizontal="right"/>
    </xf>
    <xf numFmtId="0" fontId="48" fillId="0" borderId="81" xfId="0" applyFont="1" applyBorder="1" applyAlignment="1">
      <alignment horizontal="right"/>
    </xf>
    <xf numFmtId="0" fontId="48" fillId="0" borderId="82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4" xfId="71" applyFont="1" applyBorder="1" applyAlignment="1">
      <alignment vertical="center" wrapText="1"/>
    </xf>
    <xf numFmtId="0" fontId="31" fillId="0" borderId="24" xfId="71" applyFont="1" applyBorder="1" applyAlignment="1">
      <alignment vertical="center" wrapText="1"/>
    </xf>
    <xf numFmtId="3" fontId="31" fillId="25" borderId="23" xfId="71" applyNumberFormat="1" applyFont="1" applyFill="1" applyBorder="1" applyAlignment="1">
      <alignment vertical="center"/>
    </xf>
    <xf numFmtId="4" fontId="23" fillId="25" borderId="23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167" fontId="48" fillId="0" borderId="23" xfId="0" applyNumberFormat="1" applyFont="1" applyBorder="1" applyAlignment="1">
      <alignment horizontal="right"/>
    </xf>
    <xf numFmtId="167" fontId="48" fillId="0" borderId="11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3" xfId="71" applyFont="1" applyBorder="1" applyAlignment="1">
      <alignment vertical="center"/>
    </xf>
    <xf numFmtId="2" fontId="121" fillId="0" borderId="23" xfId="71" applyNumberFormat="1" applyFont="1" applyFill="1" applyBorder="1" applyAlignment="1">
      <alignment vertical="center"/>
    </xf>
    <xf numFmtId="3" fontId="120" fillId="0" borderId="23" xfId="71" applyNumberFormat="1" applyFont="1" applyBorder="1" applyAlignment="1">
      <alignment vertical="center" wrapText="1"/>
    </xf>
    <xf numFmtId="0" fontId="134" fillId="0" borderId="23" xfId="71" applyFont="1" applyBorder="1" applyAlignment="1">
      <alignment vertical="center"/>
    </xf>
    <xf numFmtId="3" fontId="121" fillId="0" borderId="23" xfId="71" applyNumberFormat="1" applyFont="1" applyFill="1" applyBorder="1" applyAlignment="1">
      <alignment vertical="center" shrinkToFit="1"/>
    </xf>
    <xf numFmtId="165" fontId="31" fillId="0" borderId="23" xfId="71" applyNumberFormat="1" applyFont="1" applyBorder="1" applyAlignment="1">
      <alignment vertical="center"/>
    </xf>
    <xf numFmtId="3" fontId="128" fillId="0" borderId="23" xfId="71" applyNumberFormat="1" applyFont="1" applyFill="1" applyBorder="1" applyAlignment="1">
      <alignment vertical="center" shrinkToFit="1"/>
    </xf>
    <xf numFmtId="3" fontId="23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vertical="center"/>
    </xf>
    <xf numFmtId="9" fontId="23" fillId="0" borderId="23" xfId="71" applyNumberFormat="1" applyFont="1" applyFill="1" applyBorder="1" applyAlignment="1">
      <alignment vertical="center"/>
    </xf>
    <xf numFmtId="3" fontId="121" fillId="0" borderId="23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43" fillId="0" borderId="0" xfId="0" applyFont="1" applyBorder="1" applyAlignment="1">
      <alignment horizontal="left"/>
    </xf>
    <xf numFmtId="3" fontId="44" fillId="0" borderId="31" xfId="0" applyNumberFormat="1" applyFont="1" applyBorder="1"/>
    <xf numFmtId="0" fontId="28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23" fillId="0" borderId="11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7" xfId="0" applyNumberFormat="1" applyFont="1" applyBorder="1"/>
    <xf numFmtId="3" fontId="0" fillId="0" borderId="0" xfId="0" applyNumberFormat="1" applyFont="1"/>
    <xf numFmtId="0" fontId="53" fillId="0" borderId="12" xfId="0" applyFont="1" applyBorder="1"/>
    <xf numFmtId="3" fontId="26" fillId="0" borderId="17" xfId="0" applyNumberFormat="1" applyFont="1" applyBorder="1"/>
    <xf numFmtId="3" fontId="26" fillId="0" borderId="29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3" fontId="31" fillId="0" borderId="23" xfId="71" applyNumberFormat="1" applyFont="1" applyBorder="1" applyAlignment="1">
      <alignment vertical="center" wrapText="1"/>
    </xf>
    <xf numFmtId="3" fontId="25" fillId="0" borderId="69" xfId="78" applyNumberFormat="1" applyFont="1" applyBorder="1"/>
    <xf numFmtId="165" fontId="43" fillId="0" borderId="0" xfId="0" applyNumberFormat="1" applyFont="1"/>
    <xf numFmtId="0" fontId="58" fillId="0" borderId="64" xfId="0" applyFont="1" applyBorder="1"/>
    <xf numFmtId="0" fontId="82" fillId="0" borderId="64" xfId="0" applyFont="1" applyBorder="1"/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1" xfId="0" applyNumberFormat="1" applyFont="1" applyBorder="1" applyAlignment="1">
      <alignment horizontal="center" vertical="center"/>
    </xf>
    <xf numFmtId="3" fontId="48" fillId="0" borderId="11" xfId="0" applyNumberFormat="1" applyFont="1" applyBorder="1" applyAlignment="1">
      <alignment horizontal="right"/>
    </xf>
    <xf numFmtId="1" fontId="48" fillId="0" borderId="11" xfId="0" applyNumberFormat="1" applyFont="1" applyBorder="1" applyAlignment="1">
      <alignment horizontal="right"/>
    </xf>
    <xf numFmtId="165" fontId="48" fillId="24" borderId="11" xfId="0" applyNumberFormat="1" applyFont="1" applyFill="1" applyBorder="1" applyAlignment="1">
      <alignment horizontal="right" vertical="center"/>
    </xf>
    <xf numFmtId="3" fontId="48" fillId="0" borderId="23" xfId="0" applyNumberFormat="1" applyFont="1" applyBorder="1" applyAlignment="1">
      <alignment horizontal="right"/>
    </xf>
    <xf numFmtId="3" fontId="48" fillId="0" borderId="11" xfId="0" applyNumberFormat="1" applyFont="1" applyBorder="1"/>
    <xf numFmtId="170" fontId="48" fillId="0" borderId="11" xfId="0" applyNumberFormat="1" applyFont="1" applyBorder="1" applyAlignment="1">
      <alignment horizontal="right"/>
    </xf>
    <xf numFmtId="167" fontId="48" fillId="0" borderId="27" xfId="0" applyNumberFormat="1" applyFont="1" applyBorder="1" applyAlignment="1">
      <alignment horizontal="right"/>
    </xf>
    <xf numFmtId="0" fontId="30" fillId="0" borderId="0" xfId="78" applyFont="1" applyAlignment="1">
      <alignment vertical="center"/>
    </xf>
    <xf numFmtId="3" fontId="134" fillId="0" borderId="23" xfId="71" applyNumberFormat="1" applyFont="1" applyBorder="1" applyAlignment="1">
      <alignment vertical="center"/>
    </xf>
    <xf numFmtId="3" fontId="143" fillId="0" borderId="23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0" fontId="1" fillId="0" borderId="0" xfId="70" applyAlignment="1">
      <alignment vertical="center"/>
    </xf>
    <xf numFmtId="3" fontId="147" fillId="0" borderId="23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3" xfId="71" applyNumberFormat="1" applyFont="1" applyBorder="1" applyAlignment="1">
      <alignment vertical="center" wrapText="1"/>
    </xf>
    <xf numFmtId="165" fontId="147" fillId="0" borderId="23" xfId="71" applyNumberFormat="1" applyFont="1" applyBorder="1" applyAlignment="1">
      <alignment vertical="center"/>
    </xf>
    <xf numFmtId="167" fontId="147" fillId="0" borderId="23" xfId="71" applyNumberFormat="1" applyFont="1" applyBorder="1" applyAlignment="1">
      <alignment vertical="center"/>
    </xf>
    <xf numFmtId="4" fontId="147" fillId="0" borderId="23" xfId="71" applyNumberFormat="1" applyFont="1" applyBorder="1" applyAlignment="1">
      <alignment vertical="center"/>
    </xf>
    <xf numFmtId="3" fontId="149" fillId="0" borderId="23" xfId="71" applyNumberFormat="1" applyFont="1" applyFill="1" applyBorder="1" applyAlignment="1">
      <alignment vertical="center"/>
    </xf>
    <xf numFmtId="3" fontId="147" fillId="0" borderId="23" xfId="71" applyNumberFormat="1" applyFont="1" applyBorder="1" applyAlignment="1">
      <alignment vertical="center" wrapText="1"/>
    </xf>
    <xf numFmtId="3" fontId="30" fillId="0" borderId="31" xfId="0" applyNumberFormat="1" applyFont="1" applyBorder="1"/>
    <xf numFmtId="0" fontId="28" fillId="0" borderId="0" xfId="78" applyFont="1" applyBorder="1" applyAlignment="1">
      <alignment horizontal="center" wrapText="1"/>
    </xf>
    <xf numFmtId="3" fontId="48" fillId="24" borderId="11" xfId="0" applyNumberFormat="1" applyFont="1" applyFill="1" applyBorder="1" applyAlignment="1">
      <alignment horizontal="right" vertical="center"/>
    </xf>
    <xf numFmtId="165" fontId="54" fillId="0" borderId="11" xfId="0" applyNumberFormat="1" applyFont="1" applyBorder="1"/>
    <xf numFmtId="171" fontId="48" fillId="24" borderId="11" xfId="0" applyNumberFormat="1" applyFont="1" applyFill="1" applyBorder="1" applyAlignment="1">
      <alignment horizontal="right" vertical="center"/>
    </xf>
    <xf numFmtId="0" fontId="152" fillId="0" borderId="0" xfId="0" applyFont="1"/>
    <xf numFmtId="0" fontId="53" fillId="0" borderId="19" xfId="0" applyFont="1" applyBorder="1"/>
    <xf numFmtId="3" fontId="26" fillId="0" borderId="19" xfId="0" applyNumberFormat="1" applyFont="1" applyBorder="1"/>
    <xf numFmtId="0" fontId="20" fillId="0" borderId="19" xfId="0" applyFont="1" applyBorder="1"/>
    <xf numFmtId="3" fontId="23" fillId="0" borderId="19" xfId="0" applyNumberFormat="1" applyFont="1" applyBorder="1"/>
    <xf numFmtId="167" fontId="100" fillId="0" borderId="11" xfId="0" applyNumberFormat="1" applyFont="1" applyBorder="1" applyAlignment="1">
      <alignment horizontal="right"/>
    </xf>
    <xf numFmtId="0" fontId="53" fillId="0" borderId="42" xfId="0" applyFont="1" applyBorder="1"/>
    <xf numFmtId="3" fontId="26" fillId="0" borderId="84" xfId="0" applyNumberFormat="1" applyFont="1" applyBorder="1"/>
    <xf numFmtId="3" fontId="26" fillId="0" borderId="88" xfId="0" applyNumberFormat="1" applyFont="1" applyBorder="1"/>
    <xf numFmtId="0" fontId="53" fillId="0" borderId="84" xfId="0" applyFont="1" applyBorder="1"/>
    <xf numFmtId="0" fontId="28" fillId="0" borderId="38" xfId="0" applyFont="1" applyBorder="1" applyAlignment="1">
      <alignment horizontal="center"/>
    </xf>
    <xf numFmtId="0" fontId="28" fillId="0" borderId="26" xfId="0" applyFont="1" applyBorder="1" applyAlignment="1">
      <alignment horizontal="center"/>
    </xf>
    <xf numFmtId="0" fontId="55" fillId="0" borderId="0" xfId="0" applyFont="1" applyBorder="1" applyAlignment="1"/>
    <xf numFmtId="0" fontId="1" fillId="0" borderId="0" xfId="70" applyAlignment="1">
      <alignment vertical="center"/>
    </xf>
    <xf numFmtId="3" fontId="31" fillId="0" borderId="23" xfId="71" applyNumberFormat="1" applyFont="1" applyBorder="1" applyAlignment="1">
      <alignment horizontal="right" vertical="center" wrapText="1"/>
    </xf>
    <xf numFmtId="0" fontId="23" fillId="0" borderId="64" xfId="0" applyFont="1" applyBorder="1"/>
    <xf numFmtId="0" fontId="22" fillId="0" borderId="10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43" fillId="0" borderId="24" xfId="0" applyFont="1" applyBorder="1" applyAlignment="1">
      <alignment horizontal="center"/>
    </xf>
    <xf numFmtId="0" fontId="43" fillId="0" borderId="25" xfId="0" applyFont="1" applyBorder="1" applyAlignment="1">
      <alignment horizontal="center"/>
    </xf>
    <xf numFmtId="0" fontId="43" fillId="0" borderId="25" xfId="0" applyFont="1" applyBorder="1" applyAlignment="1">
      <alignment horizontal="center" vertical="center"/>
    </xf>
    <xf numFmtId="0" fontId="98" fillId="0" borderId="11" xfId="0" applyFont="1" applyBorder="1" applyAlignment="1">
      <alignment horizontal="right"/>
    </xf>
    <xf numFmtId="0" fontId="100" fillId="0" borderId="11" xfId="0" applyFont="1" applyBorder="1" applyAlignment="1">
      <alignment horizontal="right"/>
    </xf>
    <xf numFmtId="0" fontId="53" fillId="0" borderId="23" xfId="77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3" xfId="72" applyFont="1" applyBorder="1" applyAlignment="1">
      <alignment horizontal="center"/>
    </xf>
    <xf numFmtId="0" fontId="100" fillId="0" borderId="23" xfId="72" applyFont="1" applyFill="1" applyBorder="1" applyAlignment="1">
      <alignment horizontal="center"/>
    </xf>
    <xf numFmtId="0" fontId="100" fillId="0" borderId="23" xfId="72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3" xfId="72" applyFont="1" applyBorder="1" applyAlignment="1">
      <alignment horizontal="center" wrapText="1"/>
    </xf>
    <xf numFmtId="49" fontId="100" fillId="0" borderId="23" xfId="72" applyNumberFormat="1" applyFont="1" applyFill="1" applyBorder="1" applyAlignment="1">
      <alignment horizontal="center" wrapText="1"/>
    </xf>
    <xf numFmtId="0" fontId="100" fillId="0" borderId="23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0" fontId="0" fillId="26" borderId="0" xfId="0" applyFill="1"/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154" fillId="0" borderId="0" xfId="0" applyFont="1" applyFill="1" applyAlignment="1">
      <alignment horizontal="left"/>
    </xf>
    <xf numFmtId="0" fontId="98" fillId="0" borderId="0" xfId="0" applyFont="1" applyFill="1" applyAlignment="1">
      <alignment horizontal="center"/>
    </xf>
    <xf numFmtId="0" fontId="98" fillId="0" borderId="0" xfId="0" applyFont="1" applyFill="1"/>
    <xf numFmtId="0" fontId="154" fillId="0" borderId="0" xfId="0" applyFont="1" applyFill="1"/>
    <xf numFmtId="0" fontId="154" fillId="0" borderId="0" xfId="0" applyFont="1"/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0" fontId="98" fillId="0" borderId="14" xfId="0" applyFont="1" applyBorder="1" applyAlignment="1">
      <alignment wrapText="1"/>
    </xf>
    <xf numFmtId="0" fontId="100" fillId="0" borderId="23" xfId="0" applyFont="1" applyBorder="1"/>
    <xf numFmtId="0" fontId="101" fillId="0" borderId="23" xfId="0" applyFont="1" applyBorder="1" applyAlignment="1">
      <alignment horizontal="right"/>
    </xf>
    <xf numFmtId="0" fontId="98" fillId="0" borderId="23" xfId="0" applyFont="1" applyBorder="1" applyAlignment="1">
      <alignment horizontal="right"/>
    </xf>
    <xf numFmtId="0" fontId="100" fillId="0" borderId="23" xfId="0" applyFont="1" applyBorder="1" applyAlignment="1">
      <alignment horizontal="right"/>
    </xf>
    <xf numFmtId="165" fontId="100" fillId="0" borderId="23" xfId="0" applyNumberFormat="1" applyFont="1" applyBorder="1" applyAlignment="1">
      <alignment horizontal="right"/>
    </xf>
    <xf numFmtId="1" fontId="100" fillId="0" borderId="23" xfId="0" applyNumberFormat="1" applyFont="1" applyBorder="1" applyAlignment="1">
      <alignment horizontal="right"/>
    </xf>
    <xf numFmtId="167" fontId="100" fillId="0" borderId="23" xfId="0" applyNumberFormat="1" applyFont="1" applyBorder="1" applyAlignment="1">
      <alignment horizontal="right"/>
    </xf>
    <xf numFmtId="0" fontId="30" fillId="0" borderId="10" xfId="0" applyFont="1" applyBorder="1" applyAlignment="1">
      <alignment horizontal="center" vertical="center"/>
    </xf>
    <xf numFmtId="3" fontId="110" fillId="0" borderId="23" xfId="0" applyNumberFormat="1" applyFont="1" applyBorder="1" applyAlignment="1">
      <alignment horizontal="center" vertical="center" wrapText="1"/>
    </xf>
    <xf numFmtId="3" fontId="69" fillId="0" borderId="36" xfId="0" applyNumberFormat="1" applyFont="1" applyBorder="1" applyAlignment="1">
      <alignment horizontal="center" vertical="center" wrapText="1"/>
    </xf>
    <xf numFmtId="3" fontId="69" fillId="0" borderId="90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/>
    </xf>
    <xf numFmtId="3" fontId="69" fillId="0" borderId="23" xfId="0" applyNumberFormat="1" applyFont="1" applyBorder="1" applyAlignment="1">
      <alignment horizontal="center" vertical="center" wrapText="1"/>
    </xf>
    <xf numFmtId="0" fontId="28" fillId="0" borderId="23" xfId="0" applyFont="1" applyBorder="1" applyAlignment="1"/>
    <xf numFmtId="3" fontId="93" fillId="0" borderId="23" xfId="0" applyNumberFormat="1" applyFont="1" applyBorder="1" applyAlignment="1">
      <alignment horizontal="center" vertical="center" wrapText="1"/>
    </xf>
    <xf numFmtId="3" fontId="25" fillId="0" borderId="0" xfId="78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8" fillId="0" borderId="23" xfId="78" applyFont="1" applyBorder="1"/>
    <xf numFmtId="3" fontId="25" fillId="0" borderId="109" xfId="78" applyNumberFormat="1" applyFont="1" applyBorder="1" applyAlignment="1">
      <alignment horizontal="center" vertical="center"/>
    </xf>
    <xf numFmtId="3" fontId="28" fillId="0" borderId="55" xfId="78" applyNumberFormat="1" applyFont="1" applyBorder="1"/>
    <xf numFmtId="3" fontId="25" fillId="0" borderId="55" xfId="78" applyNumberFormat="1" applyFont="1" applyBorder="1"/>
    <xf numFmtId="3" fontId="25" fillId="0" borderId="116" xfId="78" applyNumberFormat="1" applyFont="1" applyBorder="1" applyAlignment="1">
      <alignment horizontal="center" vertical="center"/>
    </xf>
    <xf numFmtId="3" fontId="25" fillId="0" borderId="115" xfId="78" applyNumberFormat="1" applyFont="1" applyBorder="1" applyAlignment="1">
      <alignment horizontal="center" vertical="center"/>
    </xf>
    <xf numFmtId="3" fontId="25" fillId="0" borderId="117" xfId="78" applyNumberFormat="1" applyFont="1" applyBorder="1" applyAlignment="1">
      <alignment horizontal="center" vertical="center"/>
    </xf>
    <xf numFmtId="3" fontId="25" fillId="0" borderId="101" xfId="78" applyNumberFormat="1" applyFont="1" applyBorder="1" applyAlignment="1">
      <alignment horizontal="center" vertical="center"/>
    </xf>
    <xf numFmtId="3" fontId="37" fillId="0" borderId="114" xfId="78" applyNumberFormat="1" applyFont="1" applyBorder="1"/>
    <xf numFmtId="3" fontId="37" fillId="0" borderId="55" xfId="78" applyNumberFormat="1" applyFont="1" applyBorder="1"/>
    <xf numFmtId="0" fontId="35" fillId="0" borderId="25" xfId="78" applyFont="1" applyBorder="1"/>
    <xf numFmtId="0" fontId="35" fillId="0" borderId="23" xfId="78" applyFont="1" applyBorder="1"/>
    <xf numFmtId="0" fontId="37" fillId="0" borderId="0" xfId="78" applyFont="1" applyBorder="1"/>
    <xf numFmtId="3" fontId="25" fillId="0" borderId="23" xfId="78" applyNumberFormat="1" applyFont="1" applyBorder="1" applyAlignment="1">
      <alignment horizontal="left" vertical="center" wrapText="1"/>
    </xf>
    <xf numFmtId="3" fontId="28" fillId="0" borderId="23" xfId="78" applyNumberFormat="1" applyFont="1" applyBorder="1"/>
    <xf numFmtId="3" fontId="25" fillId="0" borderId="23" xfId="78" applyNumberFormat="1" applyFont="1" applyBorder="1"/>
    <xf numFmtId="3" fontId="37" fillId="0" borderId="23" xfId="78" applyNumberFormat="1" applyFont="1" applyBorder="1"/>
    <xf numFmtId="0" fontId="37" fillId="0" borderId="23" xfId="78" applyFont="1" applyBorder="1"/>
    <xf numFmtId="3" fontId="28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Border="1" applyAlignment="1">
      <alignment vertical="center"/>
    </xf>
    <xf numFmtId="3" fontId="35" fillId="0" borderId="23" xfId="78" applyNumberFormat="1" applyFont="1" applyBorder="1"/>
    <xf numFmtId="3" fontId="30" fillId="0" borderId="23" xfId="78" applyNumberFormat="1" applyFont="1" applyBorder="1"/>
    <xf numFmtId="0" fontId="28" fillId="0" borderId="88" xfId="78" applyFont="1" applyBorder="1"/>
    <xf numFmtId="49" fontId="25" fillId="0" borderId="23" xfId="78" applyNumberFormat="1" applyFont="1" applyBorder="1" applyAlignment="1">
      <alignment horizontal="center" vertical="center" wrapText="1"/>
    </xf>
    <xf numFmtId="49" fontId="28" fillId="0" borderId="23" xfId="78" applyNumberFormat="1" applyFont="1" applyBorder="1" applyAlignment="1">
      <alignment horizontal="center" vertical="center" wrapText="1"/>
    </xf>
    <xf numFmtId="3" fontId="35" fillId="0" borderId="23" xfId="78" applyNumberFormat="1" applyFont="1" applyBorder="1" applyAlignment="1">
      <alignment vertical="center"/>
    </xf>
    <xf numFmtId="3" fontId="30" fillId="0" borderId="23" xfId="78" applyNumberFormat="1" applyFont="1" applyBorder="1" applyAlignment="1">
      <alignment vertical="center"/>
    </xf>
    <xf numFmtId="0" fontId="137" fillId="0" borderId="23" xfId="78" applyFont="1" applyBorder="1"/>
    <xf numFmtId="3" fontId="28" fillId="0" borderId="23" xfId="78" applyNumberFormat="1" applyFont="1" applyBorder="1" applyAlignment="1">
      <alignment horizontal="left" vertical="center" wrapText="1"/>
    </xf>
    <xf numFmtId="3" fontId="30" fillId="0" borderId="23" xfId="78" applyNumberFormat="1" applyFont="1" applyBorder="1" applyAlignment="1">
      <alignment horizontal="left" vertical="center" wrapText="1"/>
    </xf>
    <xf numFmtId="3" fontId="25" fillId="0" borderId="23" xfId="78" applyNumberFormat="1" applyFont="1" applyBorder="1" applyAlignment="1">
      <alignment horizontal="center" wrapText="1"/>
    </xf>
    <xf numFmtId="3" fontId="30" fillId="0" borderId="23" xfId="78" applyNumberFormat="1" applyFont="1" applyFill="1" applyBorder="1" applyAlignment="1">
      <alignment horizontal="left" vertical="center" wrapText="1"/>
    </xf>
    <xf numFmtId="3" fontId="28" fillId="0" borderId="23" xfId="78" applyNumberFormat="1" applyFont="1" applyFill="1" applyBorder="1"/>
    <xf numFmtId="49" fontId="35" fillId="0" borderId="23" xfId="78" applyNumberFormat="1" applyFont="1" applyBorder="1" applyAlignment="1">
      <alignment horizontal="center" vertical="center" wrapText="1"/>
    </xf>
    <xf numFmtId="3" fontId="35" fillId="0" borderId="23" xfId="78" applyNumberFormat="1" applyFont="1" applyFill="1" applyBorder="1" applyAlignment="1">
      <alignment horizontal="left" vertical="center" wrapText="1"/>
    </xf>
    <xf numFmtId="0" fontId="28" fillId="0" borderId="23" xfId="78" applyFont="1" applyBorder="1" applyAlignment="1">
      <alignment vertical="center" wrapText="1"/>
    </xf>
    <xf numFmtId="0" fontId="35" fillId="0" borderId="23" xfId="78" applyFont="1" applyBorder="1" applyAlignment="1">
      <alignment vertical="center" wrapText="1"/>
    </xf>
    <xf numFmtId="0" fontId="28" fillId="0" borderId="23" xfId="78" applyFont="1" applyBorder="1" applyAlignment="1">
      <alignment horizontal="center" wrapText="1"/>
    </xf>
    <xf numFmtId="49" fontId="58" fillId="0" borderId="23" xfId="78" applyNumberFormat="1" applyFont="1" applyBorder="1" applyAlignment="1">
      <alignment horizontal="center" vertical="center" wrapText="1"/>
    </xf>
    <xf numFmtId="0" fontId="139" fillId="0" borderId="23" xfId="78" applyFont="1" applyBorder="1" applyAlignment="1">
      <alignment vertical="center" wrapText="1"/>
    </xf>
    <xf numFmtId="49" fontId="35" fillId="0" borderId="23" xfId="78" applyNumberFormat="1" applyFont="1" applyBorder="1" applyAlignment="1">
      <alignment horizontal="center" wrapText="1"/>
    </xf>
    <xf numFmtId="0" fontId="28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3" fontId="25" fillId="0" borderId="23" xfId="78" applyNumberFormat="1" applyFont="1" applyFill="1" applyBorder="1" applyAlignment="1">
      <alignment horizontal="left" vertical="center" wrapText="1"/>
    </xf>
    <xf numFmtId="3" fontId="25" fillId="0" borderId="23" xfId="78" applyNumberFormat="1" applyFont="1" applyFill="1" applyBorder="1"/>
    <xf numFmtId="3" fontId="60" fillId="0" borderId="23" xfId="78" applyNumberFormat="1" applyFont="1" applyBorder="1"/>
    <xf numFmtId="0" fontId="60" fillId="0" borderId="23" xfId="78" applyFont="1" applyBorder="1"/>
    <xf numFmtId="3" fontId="25" fillId="0" borderId="23" xfId="78" applyNumberFormat="1" applyFont="1" applyFill="1" applyBorder="1" applyAlignment="1">
      <alignment vertical="center"/>
    </xf>
    <xf numFmtId="3" fontId="86" fillId="0" borderId="23" xfId="78" applyNumberFormat="1" applyFont="1" applyBorder="1" applyAlignment="1">
      <alignment vertical="center"/>
    </xf>
    <xf numFmtId="3" fontId="87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wrapText="1"/>
    </xf>
    <xf numFmtId="3" fontId="28" fillId="0" borderId="23" xfId="78" applyNumberFormat="1" applyFont="1" applyFill="1" applyBorder="1" applyAlignment="1">
      <alignment vertical="center"/>
    </xf>
    <xf numFmtId="3" fontId="25" fillId="0" borderId="23" xfId="78" applyNumberFormat="1" applyFont="1" applyBorder="1" applyAlignment="1">
      <alignment vertical="center"/>
    </xf>
    <xf numFmtId="3" fontId="28" fillId="0" borderId="23" xfId="0" applyNumberFormat="1" applyFont="1" applyFill="1" applyBorder="1" applyAlignment="1">
      <alignment vertical="center" wrapText="1"/>
    </xf>
    <xf numFmtId="0" fontId="61" fillId="0" borderId="23" xfId="78" applyFont="1" applyBorder="1"/>
    <xf numFmtId="0" fontId="31" fillId="0" borderId="23" xfId="0" applyFont="1" applyBorder="1" applyAlignment="1">
      <alignment vertical="center" wrapText="1"/>
    </xf>
    <xf numFmtId="3" fontId="61" fillId="0" borderId="23" xfId="78" applyNumberFormat="1" applyFont="1" applyBorder="1"/>
    <xf numFmtId="0" fontId="30" fillId="0" borderId="23" xfId="78" applyFont="1" applyBorder="1"/>
    <xf numFmtId="0" fontId="30" fillId="0" borderId="23" xfId="78" applyFont="1" applyBorder="1" applyAlignment="1">
      <alignment vertical="center"/>
    </xf>
    <xf numFmtId="3" fontId="35" fillId="0" borderId="23" xfId="78" applyNumberFormat="1" applyFont="1" applyBorder="1" applyAlignment="1">
      <alignment horizontal="left" vertical="center" wrapText="1"/>
    </xf>
    <xf numFmtId="49" fontId="28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Border="1" applyAlignment="1">
      <alignment horizontal="left" vertical="center" wrapText="1"/>
    </xf>
    <xf numFmtId="3" fontId="28" fillId="0" borderId="24" xfId="78" applyNumberFormat="1" applyFont="1" applyBorder="1"/>
    <xf numFmtId="3" fontId="25" fillId="0" borderId="24" xfId="78" applyNumberFormat="1" applyFont="1" applyBorder="1"/>
    <xf numFmtId="3" fontId="35" fillId="0" borderId="24" xfId="78" applyNumberFormat="1" applyFont="1" applyBorder="1"/>
    <xf numFmtId="0" fontId="35" fillId="0" borderId="24" xfId="78" applyFont="1" applyBorder="1"/>
    <xf numFmtId="49" fontId="28" fillId="0" borderId="108" xfId="78" applyNumberFormat="1" applyFont="1" applyBorder="1" applyAlignment="1">
      <alignment horizontal="center" vertical="center" wrapText="1"/>
    </xf>
    <xf numFmtId="3" fontId="25" fillId="0" borderId="31" xfId="78" applyNumberFormat="1" applyFont="1" applyBorder="1" applyAlignment="1">
      <alignment horizontal="left" vertical="center" wrapText="1"/>
    </xf>
    <xf numFmtId="3" fontId="25" fillId="0" borderId="31" xfId="78" applyNumberFormat="1" applyFont="1" applyBorder="1" applyAlignment="1">
      <alignment vertical="center"/>
    </xf>
    <xf numFmtId="0" fontId="30" fillId="0" borderId="31" xfId="78" applyFont="1" applyBorder="1"/>
    <xf numFmtId="0" fontId="30" fillId="0" borderId="56" xfId="78" applyFont="1" applyBorder="1"/>
    <xf numFmtId="0" fontId="30" fillId="0" borderId="24" xfId="78" applyFont="1" applyBorder="1"/>
    <xf numFmtId="49" fontId="28" fillId="0" borderId="25" xfId="78" applyNumberFormat="1" applyFont="1" applyBorder="1" applyAlignment="1">
      <alignment horizontal="center" vertical="center" wrapText="1"/>
    </xf>
    <xf numFmtId="3" fontId="28" fillId="0" borderId="25" xfId="78" applyNumberFormat="1" applyFont="1" applyBorder="1" applyAlignment="1">
      <alignment horizontal="left" vertical="center" wrapText="1"/>
    </xf>
    <xf numFmtId="3" fontId="28" fillId="0" borderId="25" xfId="78" applyNumberFormat="1" applyFont="1" applyBorder="1"/>
    <xf numFmtId="3" fontId="25" fillId="0" borderId="25" xfId="78" applyNumberFormat="1" applyFont="1" applyBorder="1"/>
    <xf numFmtId="3" fontId="35" fillId="0" borderId="25" xfId="78" applyNumberFormat="1" applyFont="1" applyBorder="1"/>
    <xf numFmtId="3" fontId="28" fillId="0" borderId="31" xfId="78" applyNumberFormat="1" applyFont="1" applyBorder="1"/>
    <xf numFmtId="3" fontId="25" fillId="0" borderId="31" xfId="78" applyNumberFormat="1" applyFont="1" applyBorder="1"/>
    <xf numFmtId="3" fontId="30" fillId="0" borderId="24" xfId="78" applyNumberFormat="1" applyFont="1" applyBorder="1"/>
    <xf numFmtId="0" fontId="30" fillId="0" borderId="25" xfId="78" applyFont="1" applyBorder="1"/>
    <xf numFmtId="49" fontId="25" fillId="0" borderId="108" xfId="78" applyNumberFormat="1" applyFont="1" applyBorder="1" applyAlignment="1">
      <alignment horizontal="center" vertical="center" wrapText="1"/>
    </xf>
    <xf numFmtId="3" fontId="30" fillId="0" borderId="31" xfId="78" applyNumberFormat="1" applyFont="1" applyBorder="1"/>
    <xf numFmtId="3" fontId="28" fillId="0" borderId="24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vertical="center"/>
    </xf>
    <xf numFmtId="0" fontId="30" fillId="0" borderId="24" xfId="78" applyFont="1" applyBorder="1" applyAlignment="1">
      <alignment vertical="center"/>
    </xf>
    <xf numFmtId="3" fontId="30" fillId="0" borderId="25" xfId="78" applyNumberFormat="1" applyFont="1" applyBorder="1"/>
    <xf numFmtId="0" fontId="30" fillId="0" borderId="31" xfId="78" applyFont="1" applyBorder="1" applyAlignment="1">
      <alignment vertical="center"/>
    </xf>
    <xf numFmtId="0" fontId="30" fillId="0" borderId="56" xfId="78" applyFont="1" applyBorder="1" applyAlignment="1">
      <alignment vertical="center"/>
    </xf>
    <xf numFmtId="49" fontId="25" fillId="0" borderId="45" xfId="78" applyNumberFormat="1" applyFont="1" applyBorder="1" applyAlignment="1">
      <alignment horizontal="center" vertical="center" wrapText="1"/>
    </xf>
    <xf numFmtId="3" fontId="25" fillId="0" borderId="45" xfId="78" applyNumberFormat="1" applyFont="1" applyBorder="1" applyAlignment="1">
      <alignment horizontal="left" vertical="center" wrapText="1"/>
    </xf>
    <xf numFmtId="3" fontId="25" fillId="0" borderId="45" xfId="78" applyNumberFormat="1" applyFont="1" applyBorder="1"/>
    <xf numFmtId="0" fontId="30" fillId="0" borderId="45" xfId="78" applyFont="1" applyBorder="1"/>
    <xf numFmtId="3" fontId="122" fillId="0" borderId="24" xfId="78" applyNumberFormat="1" applyFont="1" applyBorder="1" applyAlignment="1">
      <alignment horizontal="left" vertical="center" wrapText="1"/>
    </xf>
    <xf numFmtId="3" fontId="122" fillId="0" borderId="24" xfId="78" applyNumberFormat="1" applyFont="1" applyBorder="1"/>
    <xf numFmtId="3" fontId="35" fillId="0" borderId="24" xfId="78" applyNumberFormat="1" applyFont="1" applyBorder="1" applyAlignment="1">
      <alignment vertical="center"/>
    </xf>
    <xf numFmtId="49" fontId="28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Border="1" applyAlignment="1">
      <alignment horizontal="left" vertical="center" wrapText="1"/>
    </xf>
    <xf numFmtId="3" fontId="28" fillId="0" borderId="45" xfId="78" applyNumberFormat="1" applyFont="1" applyBorder="1"/>
    <xf numFmtId="3" fontId="35" fillId="0" borderId="45" xfId="78" applyNumberFormat="1" applyFont="1" applyBorder="1"/>
    <xf numFmtId="0" fontId="35" fillId="0" borderId="45" xfId="78" applyFont="1" applyBorder="1"/>
    <xf numFmtId="0" fontId="35" fillId="0" borderId="31" xfId="78" applyFont="1" applyBorder="1"/>
    <xf numFmtId="0" fontId="35" fillId="0" borderId="56" xfId="78" applyFont="1" applyBorder="1"/>
    <xf numFmtId="3" fontId="30" fillId="0" borderId="45" xfId="78" applyNumberFormat="1" applyFont="1" applyBorder="1"/>
    <xf numFmtId="3" fontId="30" fillId="0" borderId="31" xfId="78" applyNumberFormat="1" applyFont="1" applyBorder="1" applyAlignment="1">
      <alignment vertical="center"/>
    </xf>
    <xf numFmtId="3" fontId="25" fillId="0" borderId="24" xfId="78" applyNumberFormat="1" applyFont="1" applyBorder="1" applyAlignment="1">
      <alignment horizontal="left" vertical="center" wrapText="1"/>
    </xf>
    <xf numFmtId="3" fontId="61" fillId="0" borderId="24" xfId="78" applyNumberFormat="1" applyFont="1" applyBorder="1"/>
    <xf numFmtId="0" fontId="61" fillId="0" borderId="24" xfId="78" applyFont="1" applyBorder="1"/>
    <xf numFmtId="0" fontId="31" fillId="0" borderId="24" xfId="0" applyFont="1" applyBorder="1" applyAlignment="1">
      <alignment vertical="center" wrapText="1"/>
    </xf>
    <xf numFmtId="3" fontId="30" fillId="0" borderId="24" xfId="78" applyNumberFormat="1" applyFont="1" applyBorder="1" applyAlignment="1">
      <alignment vertical="center"/>
    </xf>
    <xf numFmtId="3" fontId="28" fillId="0" borderId="24" xfId="78" applyNumberFormat="1" applyFont="1" applyFill="1" applyBorder="1" applyAlignment="1">
      <alignment horizontal="left" vertical="center" wrapText="1"/>
    </xf>
    <xf numFmtId="3" fontId="37" fillId="0" borderId="45" xfId="78" applyNumberFormat="1" applyFont="1" applyFill="1" applyBorder="1" applyAlignment="1">
      <alignment horizontal="left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49" fontId="25" fillId="0" borderId="24" xfId="78" applyNumberFormat="1" applyFont="1" applyBorder="1" applyAlignment="1">
      <alignment horizontal="center" vertical="center" wrapText="1"/>
    </xf>
    <xf numFmtId="3" fontId="28" fillId="0" borderId="24" xfId="78" applyNumberFormat="1" applyFont="1" applyFill="1" applyBorder="1"/>
    <xf numFmtId="49" fontId="35" fillId="0" borderId="24" xfId="78" applyNumberFormat="1" applyFont="1" applyBorder="1" applyAlignment="1">
      <alignment horizontal="center" vertical="center" wrapText="1"/>
    </xf>
    <xf numFmtId="3" fontId="28" fillId="0" borderId="24" xfId="0" applyNumberFormat="1" applyFont="1" applyFill="1" applyBorder="1" applyAlignment="1">
      <alignment wrapText="1"/>
    </xf>
    <xf numFmtId="3" fontId="28" fillId="0" borderId="24" xfId="78" applyNumberFormat="1" applyFont="1" applyFill="1" applyBorder="1" applyAlignment="1">
      <alignment vertical="center"/>
    </xf>
    <xf numFmtId="0" fontId="60" fillId="0" borderId="24" xfId="78" applyFont="1" applyBorder="1"/>
    <xf numFmtId="3" fontId="25" fillId="0" borderId="45" xfId="78" applyNumberFormat="1" applyFont="1" applyFill="1" applyBorder="1" applyAlignment="1">
      <alignment horizontal="left" vertical="center" wrapText="1"/>
    </xf>
    <xf numFmtId="3" fontId="25" fillId="0" borderId="45" xfId="78" applyNumberFormat="1" applyFont="1" applyFill="1" applyBorder="1"/>
    <xf numFmtId="0" fontId="60" fillId="0" borderId="45" xfId="78" applyFont="1" applyBorder="1"/>
    <xf numFmtId="3" fontId="25" fillId="0" borderId="31" xfId="78" applyNumberFormat="1" applyFont="1" applyFill="1" applyBorder="1"/>
    <xf numFmtId="0" fontId="60" fillId="0" borderId="31" xfId="78" applyFont="1" applyBorder="1"/>
    <xf numFmtId="0" fontId="60" fillId="0" borderId="56" xfId="78" applyFont="1" applyBorder="1"/>
    <xf numFmtId="0" fontId="35" fillId="0" borderId="24" xfId="0" applyFont="1" applyBorder="1" applyAlignment="1">
      <alignment horizontal="left" vertical="center" wrapText="1"/>
    </xf>
    <xf numFmtId="0" fontId="28" fillId="0" borderId="24" xfId="78" applyFont="1" applyBorder="1"/>
    <xf numFmtId="3" fontId="28" fillId="0" borderId="45" xfId="78" applyNumberFormat="1" applyFont="1" applyBorder="1" applyAlignment="1">
      <alignment horizontal="center" vertical="center" wrapText="1"/>
    </xf>
    <xf numFmtId="3" fontId="28" fillId="0" borderId="45" xfId="78" applyNumberFormat="1" applyFont="1" applyFill="1" applyBorder="1" applyAlignment="1">
      <alignment horizontal="left" vertical="center" wrapText="1"/>
    </xf>
    <xf numFmtId="3" fontId="28" fillId="0" borderId="45" xfId="78" applyNumberFormat="1" applyFont="1" applyFill="1" applyBorder="1"/>
    <xf numFmtId="0" fontId="28" fillId="0" borderId="45" xfId="78" applyFont="1" applyBorder="1"/>
    <xf numFmtId="3" fontId="28" fillId="0" borderId="108" xfId="78" applyNumberFormat="1" applyFont="1" applyBorder="1" applyAlignment="1">
      <alignment horizontal="center" vertical="center" wrapText="1"/>
    </xf>
    <xf numFmtId="0" fontId="37" fillId="0" borderId="31" xfId="78" applyFont="1" applyBorder="1"/>
    <xf numFmtId="0" fontId="37" fillId="0" borderId="56" xfId="78" applyFont="1" applyBorder="1"/>
    <xf numFmtId="3" fontId="25" fillId="0" borderId="108" xfId="78" applyNumberFormat="1" applyFont="1" applyBorder="1" applyAlignment="1">
      <alignment horizontal="center" vertical="center" wrapText="1"/>
    </xf>
    <xf numFmtId="0" fontId="28" fillId="0" borderId="56" xfId="78" applyFont="1" applyBorder="1"/>
    <xf numFmtId="3" fontId="28" fillId="0" borderId="88" xfId="78" applyNumberFormat="1" applyFont="1" applyBorder="1"/>
    <xf numFmtId="3" fontId="35" fillId="0" borderId="79" xfId="78" applyNumberFormat="1" applyFont="1" applyBorder="1"/>
    <xf numFmtId="3" fontId="30" fillId="0" borderId="69" xfId="78" applyNumberFormat="1" applyFont="1" applyBorder="1"/>
    <xf numFmtId="3" fontId="28" fillId="0" borderId="119" xfId="78" applyNumberFormat="1" applyFont="1" applyBorder="1"/>
    <xf numFmtId="3" fontId="35" fillId="0" borderId="120" xfId="78" applyNumberFormat="1" applyFont="1" applyBorder="1"/>
    <xf numFmtId="3" fontId="30" fillId="0" borderId="56" xfId="78" applyNumberFormat="1" applyFont="1" applyBorder="1"/>
    <xf numFmtId="3" fontId="35" fillId="0" borderId="88" xfId="78" applyNumberFormat="1" applyFont="1" applyBorder="1" applyAlignment="1">
      <alignment vertical="center"/>
    </xf>
    <xf numFmtId="3" fontId="35" fillId="0" borderId="88" xfId="78" applyNumberFormat="1" applyFont="1" applyBorder="1"/>
    <xf numFmtId="3" fontId="30" fillId="0" borderId="88" xfId="78" applyNumberFormat="1" applyFont="1" applyBorder="1"/>
    <xf numFmtId="3" fontId="35" fillId="0" borderId="79" xfId="78" applyNumberFormat="1" applyFont="1" applyBorder="1" applyAlignment="1">
      <alignment vertical="center"/>
    </xf>
    <xf numFmtId="3" fontId="28" fillId="0" borderId="82" xfId="78" applyNumberFormat="1" applyFont="1" applyBorder="1"/>
    <xf numFmtId="3" fontId="25" fillId="0" borderId="88" xfId="78" applyNumberFormat="1" applyFont="1" applyBorder="1"/>
    <xf numFmtId="3" fontId="86" fillId="0" borderId="88" xfId="78" applyNumberFormat="1" applyFont="1" applyBorder="1" applyAlignment="1">
      <alignment vertical="center"/>
    </xf>
    <xf numFmtId="3" fontId="28" fillId="0" borderId="88" xfId="78" applyNumberFormat="1" applyFont="1" applyBorder="1" applyAlignment="1">
      <alignment vertical="center"/>
    </xf>
    <xf numFmtId="3" fontId="28" fillId="0" borderId="79" xfId="78" applyNumberFormat="1" applyFont="1" applyBorder="1" applyAlignment="1">
      <alignment vertical="center"/>
    </xf>
    <xf numFmtId="3" fontId="25" fillId="0" borderId="82" xfId="78" applyNumberFormat="1" applyFont="1" applyBorder="1"/>
    <xf numFmtId="3" fontId="28" fillId="0" borderId="79" xfId="78" applyNumberFormat="1" applyFont="1" applyBorder="1"/>
    <xf numFmtId="0" fontId="35" fillId="0" borderId="88" xfId="78" applyFont="1" applyBorder="1"/>
    <xf numFmtId="3" fontId="25" fillId="0" borderId="79" xfId="78" applyNumberFormat="1" applyFont="1" applyBorder="1"/>
    <xf numFmtId="3" fontId="30" fillId="0" borderId="69" xfId="78" applyNumberFormat="1" applyFont="1" applyBorder="1" applyAlignment="1">
      <alignment vertical="center"/>
    </xf>
    <xf numFmtId="3" fontId="25" fillId="0" borderId="69" xfId="78" applyNumberFormat="1" applyFont="1" applyBorder="1" applyAlignment="1">
      <alignment vertical="center"/>
    </xf>
    <xf numFmtId="3" fontId="28" fillId="0" borderId="64" xfId="78" applyNumberFormat="1" applyFont="1" applyBorder="1"/>
    <xf numFmtId="3" fontId="35" fillId="0" borderId="119" xfId="78" applyNumberFormat="1" applyFont="1" applyBorder="1" applyAlignment="1">
      <alignment vertical="center"/>
    </xf>
    <xf numFmtId="3" fontId="35" fillId="0" borderId="119" xfId="78" applyNumberFormat="1" applyFont="1" applyBorder="1"/>
    <xf numFmtId="3" fontId="30" fillId="0" borderId="119" xfId="78" applyNumberFormat="1" applyFont="1" applyBorder="1"/>
    <xf numFmtId="3" fontId="35" fillId="0" borderId="120" xfId="78" applyNumberFormat="1" applyFont="1" applyBorder="1" applyAlignment="1">
      <alignment vertical="center"/>
    </xf>
    <xf numFmtId="3" fontId="28" fillId="0" borderId="121" xfId="78" applyNumberFormat="1" applyFont="1" applyBorder="1"/>
    <xf numFmtId="3" fontId="25" fillId="0" borderId="119" xfId="78" applyNumberFormat="1" applyFont="1" applyBorder="1"/>
    <xf numFmtId="3" fontId="86" fillId="0" borderId="119" xfId="78" applyNumberFormat="1" applyFont="1" applyBorder="1" applyAlignment="1">
      <alignment vertical="center"/>
    </xf>
    <xf numFmtId="3" fontId="28" fillId="0" borderId="119" xfId="78" applyNumberFormat="1" applyFont="1" applyBorder="1" applyAlignment="1">
      <alignment vertical="center"/>
    </xf>
    <xf numFmtId="3" fontId="28" fillId="0" borderId="120" xfId="78" applyNumberFormat="1" applyFont="1" applyBorder="1" applyAlignment="1">
      <alignment vertical="center"/>
    </xf>
    <xf numFmtId="3" fontId="25" fillId="0" borderId="56" xfId="78" applyNumberFormat="1" applyFont="1" applyBorder="1"/>
    <xf numFmtId="3" fontId="25" fillId="0" borderId="121" xfId="78" applyNumberFormat="1" applyFont="1" applyBorder="1"/>
    <xf numFmtId="3" fontId="28" fillId="0" borderId="120" xfId="78" applyNumberFormat="1" applyFont="1" applyBorder="1"/>
    <xf numFmtId="0" fontId="35" fillId="0" borderId="119" xfId="78" applyFont="1" applyBorder="1"/>
    <xf numFmtId="3" fontId="25" fillId="0" borderId="120" xfId="78" applyNumberFormat="1" applyFont="1" applyBorder="1"/>
    <xf numFmtId="3" fontId="30" fillId="0" borderId="56" xfId="78" applyNumberFormat="1" applyFont="1" applyBorder="1" applyAlignment="1">
      <alignment vertical="center"/>
    </xf>
    <xf numFmtId="3" fontId="25" fillId="0" borderId="56" xfId="78" applyNumberFormat="1" applyFont="1" applyBorder="1" applyAlignment="1">
      <alignment vertical="center"/>
    </xf>
    <xf numFmtId="3" fontId="28" fillId="0" borderId="122" xfId="78" applyNumberFormat="1" applyFont="1" applyBorder="1"/>
    <xf numFmtId="3" fontId="30" fillId="0" borderId="79" xfId="78" applyNumberFormat="1" applyFont="1" applyBorder="1"/>
    <xf numFmtId="3" fontId="30" fillId="0" borderId="88" xfId="78" applyNumberFormat="1" applyFont="1" applyBorder="1" applyAlignment="1">
      <alignment vertical="center"/>
    </xf>
    <xf numFmtId="3" fontId="30" fillId="0" borderId="79" xfId="78" applyNumberFormat="1" applyFont="1" applyBorder="1" applyAlignment="1">
      <alignment vertical="center"/>
    </xf>
    <xf numFmtId="3" fontId="87" fillId="0" borderId="88" xfId="78" applyNumberFormat="1" applyFont="1" applyBorder="1" applyAlignment="1">
      <alignment vertical="center"/>
    </xf>
    <xf numFmtId="3" fontId="25" fillId="0" borderId="88" xfId="78" applyNumberFormat="1" applyFont="1" applyBorder="1" applyAlignment="1">
      <alignment vertical="center"/>
    </xf>
    <xf numFmtId="3" fontId="25" fillId="0" borderId="79" xfId="78" applyNumberFormat="1" applyFont="1" applyBorder="1" applyAlignment="1">
      <alignment vertical="center"/>
    </xf>
    <xf numFmtId="3" fontId="25" fillId="0" borderId="64" xfId="78" applyNumberFormat="1" applyFont="1" applyBorder="1"/>
    <xf numFmtId="3" fontId="37" fillId="0" borderId="88" xfId="78" applyNumberFormat="1" applyFont="1" applyBorder="1"/>
    <xf numFmtId="3" fontId="60" fillId="0" borderId="88" xfId="78" applyNumberFormat="1" applyFont="1" applyBorder="1"/>
    <xf numFmtId="3" fontId="35" fillId="0" borderId="82" xfId="78" applyNumberFormat="1" applyFont="1" applyBorder="1"/>
    <xf numFmtId="3" fontId="61" fillId="0" borderId="88" xfId="78" applyNumberFormat="1" applyFont="1" applyBorder="1"/>
    <xf numFmtId="3" fontId="61" fillId="0" borderId="79" xfId="78" applyNumberFormat="1" applyFont="1" applyBorder="1"/>
    <xf numFmtId="3" fontId="30" fillId="0" borderId="82" xfId="78" applyNumberFormat="1" applyFont="1" applyBorder="1"/>
    <xf numFmtId="3" fontId="30" fillId="0" borderId="64" xfId="78" applyNumberFormat="1" applyFont="1" applyBorder="1"/>
    <xf numFmtId="3" fontId="35" fillId="0" borderId="64" xfId="78" applyNumberFormat="1" applyFont="1" applyBorder="1"/>
    <xf numFmtId="3" fontId="30" fillId="0" borderId="120" xfId="78" applyNumberFormat="1" applyFont="1" applyBorder="1"/>
    <xf numFmtId="3" fontId="30" fillId="0" borderId="119" xfId="78" applyNumberFormat="1" applyFont="1" applyBorder="1" applyAlignment="1">
      <alignment vertical="center"/>
    </xf>
    <xf numFmtId="3" fontId="30" fillId="0" borderId="120" xfId="78" applyNumberFormat="1" applyFont="1" applyBorder="1" applyAlignment="1">
      <alignment vertical="center"/>
    </xf>
    <xf numFmtId="3" fontId="87" fillId="0" borderId="119" xfId="78" applyNumberFormat="1" applyFont="1" applyBorder="1" applyAlignment="1">
      <alignment vertical="center"/>
    </xf>
    <xf numFmtId="3" fontId="25" fillId="0" borderId="119" xfId="78" applyNumberFormat="1" applyFont="1" applyBorder="1" applyAlignment="1">
      <alignment vertical="center"/>
    </xf>
    <xf numFmtId="3" fontId="25" fillId="0" borderId="120" xfId="78" applyNumberFormat="1" applyFont="1" applyBorder="1" applyAlignment="1">
      <alignment vertical="center"/>
    </xf>
    <xf numFmtId="3" fontId="25" fillId="0" borderId="122" xfId="78" applyNumberFormat="1" applyFont="1" applyBorder="1"/>
    <xf numFmtId="3" fontId="84" fillId="0" borderId="64" xfId="78" applyNumberFormat="1" applyFont="1" applyBorder="1"/>
    <xf numFmtId="3" fontId="30" fillId="0" borderId="122" xfId="78" applyNumberFormat="1" applyFont="1" applyBorder="1"/>
    <xf numFmtId="3" fontId="35" fillId="0" borderId="122" xfId="78" applyNumberFormat="1" applyFont="1" applyBorder="1"/>
    <xf numFmtId="3" fontId="37" fillId="0" borderId="119" xfId="78" applyNumberFormat="1" applyFont="1" applyBorder="1"/>
    <xf numFmtId="3" fontId="60" fillId="0" borderId="119" xfId="78" applyNumberFormat="1" applyFont="1" applyBorder="1"/>
    <xf numFmtId="3" fontId="35" fillId="0" borderId="121" xfId="78" applyNumberFormat="1" applyFont="1" applyBorder="1"/>
    <xf numFmtId="3" fontId="61" fillId="0" borderId="119" xfId="78" applyNumberFormat="1" applyFont="1" applyBorder="1"/>
    <xf numFmtId="3" fontId="61" fillId="0" borderId="120" xfId="78" applyNumberFormat="1" applyFont="1" applyBorder="1"/>
    <xf numFmtId="3" fontId="30" fillId="0" borderId="121" xfId="78" applyNumberFormat="1" applyFont="1" applyBorder="1"/>
    <xf numFmtId="0" fontId="30" fillId="0" borderId="59" xfId="78" applyFont="1" applyBorder="1" applyAlignment="1">
      <alignment vertical="center"/>
    </xf>
    <xf numFmtId="0" fontId="37" fillId="0" borderId="55" xfId="78" applyFont="1" applyBorder="1"/>
    <xf numFmtId="0" fontId="37" fillId="0" borderId="119" xfId="78" applyFont="1" applyBorder="1"/>
    <xf numFmtId="0" fontId="28" fillId="0" borderId="120" xfId="78" applyFont="1" applyBorder="1"/>
    <xf numFmtId="0" fontId="28" fillId="0" borderId="119" xfId="78" applyFont="1" applyBorder="1"/>
    <xf numFmtId="0" fontId="28" fillId="0" borderId="119" xfId="78" applyFont="1" applyBorder="1" applyAlignment="1">
      <alignment horizontal="center" wrapText="1"/>
    </xf>
    <xf numFmtId="0" fontId="28" fillId="0" borderId="121" xfId="78" applyFont="1" applyBorder="1"/>
    <xf numFmtId="0" fontId="60" fillId="0" borderId="119" xfId="78" applyFont="1" applyBorder="1"/>
    <xf numFmtId="0" fontId="60" fillId="0" borderId="120" xfId="78" applyFont="1" applyBorder="1"/>
    <xf numFmtId="0" fontId="60" fillId="0" borderId="121" xfId="78" applyFont="1" applyBorder="1"/>
    <xf numFmtId="0" fontId="35" fillId="0" borderId="120" xfId="78" applyFont="1" applyBorder="1"/>
    <xf numFmtId="0" fontId="35" fillId="0" borderId="121" xfId="78" applyFont="1" applyBorder="1"/>
    <xf numFmtId="0" fontId="61" fillId="0" borderId="119" xfId="78" applyFont="1" applyBorder="1"/>
    <xf numFmtId="0" fontId="61" fillId="0" borderId="120" xfId="78" applyFont="1" applyBorder="1"/>
    <xf numFmtId="0" fontId="30" fillId="0" borderId="119" xfId="78" applyFont="1" applyBorder="1"/>
    <xf numFmtId="0" fontId="30" fillId="0" borderId="119" xfId="78" applyFont="1" applyBorder="1" applyAlignment="1">
      <alignment vertical="center"/>
    </xf>
    <xf numFmtId="0" fontId="30" fillId="0" borderId="120" xfId="78" applyFont="1" applyBorder="1"/>
    <xf numFmtId="0" fontId="30" fillId="0" borderId="121" xfId="78" applyFont="1" applyBorder="1"/>
    <xf numFmtId="0" fontId="30" fillId="0" borderId="120" xfId="78" applyFont="1" applyBorder="1" applyAlignment="1">
      <alignment vertical="center"/>
    </xf>
    <xf numFmtId="0" fontId="30" fillId="0" borderId="122" xfId="78" applyFont="1" applyBorder="1"/>
    <xf numFmtId="0" fontId="35" fillId="0" borderId="122" xfId="78" applyFont="1" applyBorder="1"/>
    <xf numFmtId="49" fontId="35" fillId="0" borderId="64" xfId="78" applyNumberFormat="1" applyFont="1" applyBorder="1" applyAlignment="1">
      <alignment horizontal="center" vertical="center" wrapText="1"/>
    </xf>
    <xf numFmtId="0" fontId="35" fillId="0" borderId="25" xfId="0" applyFont="1" applyBorder="1" applyAlignment="1">
      <alignment horizontal="left" vertical="center" wrapText="1"/>
    </xf>
    <xf numFmtId="3" fontId="35" fillId="0" borderId="25" xfId="78" applyNumberFormat="1" applyFont="1" applyBorder="1" applyAlignment="1">
      <alignment vertical="center"/>
    </xf>
    <xf numFmtId="3" fontId="35" fillId="0" borderId="122" xfId="78" applyNumberFormat="1" applyFont="1" applyBorder="1" applyAlignment="1">
      <alignment vertical="center"/>
    </xf>
    <xf numFmtId="3" fontId="35" fillId="0" borderId="64" xfId="78" applyNumberFormat="1" applyFont="1" applyBorder="1" applyAlignment="1">
      <alignment vertical="center"/>
    </xf>
    <xf numFmtId="3" fontId="30" fillId="0" borderId="64" xfId="78" applyNumberFormat="1" applyFont="1" applyBorder="1" applyAlignment="1">
      <alignment vertical="center"/>
    </xf>
    <xf numFmtId="3" fontId="30" fillId="0" borderId="25" xfId="78" applyNumberFormat="1" applyFont="1" applyBorder="1" applyAlignment="1">
      <alignment vertical="center"/>
    </xf>
    <xf numFmtId="3" fontId="30" fillId="0" borderId="122" xfId="78" applyNumberFormat="1" applyFont="1" applyBorder="1" applyAlignment="1">
      <alignment vertical="center"/>
    </xf>
    <xf numFmtId="0" fontId="28" fillId="0" borderId="25" xfId="78" applyFont="1" applyBorder="1"/>
    <xf numFmtId="0" fontId="28" fillId="0" borderId="122" xfId="78" applyFont="1" applyBorder="1"/>
    <xf numFmtId="3" fontId="25" fillId="0" borderId="123" xfId="0" applyNumberFormat="1" applyFont="1" applyBorder="1" applyAlignment="1">
      <alignment vertical="center" wrapText="1"/>
    </xf>
    <xf numFmtId="3" fontId="25" fillId="0" borderId="83" xfId="0" applyNumberFormat="1" applyFont="1" applyBorder="1" applyAlignment="1">
      <alignment horizontal="center" vertical="center" wrapText="1"/>
    </xf>
    <xf numFmtId="0" fontId="30" fillId="0" borderId="60" xfId="78" applyFont="1" applyBorder="1" applyAlignment="1">
      <alignment horizontal="center" vertical="center"/>
    </xf>
    <xf numFmtId="3" fontId="25" fillId="0" borderId="76" xfId="0" applyNumberFormat="1" applyFont="1" applyBorder="1" applyAlignment="1">
      <alignment horizontal="center" vertical="center" wrapText="1"/>
    </xf>
    <xf numFmtId="3" fontId="25" fillId="0" borderId="47" xfId="0" applyNumberFormat="1" applyFont="1" applyBorder="1" applyAlignment="1">
      <alignment horizontal="center" vertical="center" wrapText="1"/>
    </xf>
    <xf numFmtId="3" fontId="25" fillId="0" borderId="26" xfId="0" applyNumberFormat="1" applyFont="1" applyBorder="1" applyAlignment="1">
      <alignment horizontal="center" vertical="center" wrapText="1"/>
    </xf>
    <xf numFmtId="3" fontId="25" fillId="0" borderId="26" xfId="0" applyNumberFormat="1" applyFont="1" applyBorder="1" applyAlignment="1">
      <alignment vertical="center" wrapText="1"/>
    </xf>
    <xf numFmtId="0" fontId="30" fillId="0" borderId="60" xfId="78" applyFont="1" applyBorder="1" applyAlignment="1">
      <alignment vertical="center"/>
    </xf>
    <xf numFmtId="3" fontId="25" fillId="0" borderId="76" xfId="0" applyNumberFormat="1" applyFont="1" applyBorder="1" applyAlignment="1">
      <alignment vertical="center" wrapText="1"/>
    </xf>
    <xf numFmtId="0" fontId="30" fillId="0" borderId="31" xfId="78" applyFont="1" applyBorder="1" applyAlignment="1">
      <alignment horizontal="center" vertical="center"/>
    </xf>
    <xf numFmtId="3" fontId="25" fillId="0" borderId="56" xfId="0" applyNumberFormat="1" applyFont="1" applyBorder="1" applyAlignment="1">
      <alignment horizontal="center" vertical="center" wrapText="1"/>
    </xf>
    <xf numFmtId="3" fontId="25" fillId="0" borderId="46" xfId="78" applyNumberFormat="1" applyFont="1" applyBorder="1" applyAlignment="1">
      <alignment horizontal="center" vertical="center"/>
    </xf>
    <xf numFmtId="0" fontId="37" fillId="0" borderId="26" xfId="78" applyFont="1" applyBorder="1"/>
    <xf numFmtId="0" fontId="37" fillId="0" borderId="77" xfId="78" applyFont="1" applyBorder="1"/>
    <xf numFmtId="0" fontId="44" fillId="0" borderId="23" xfId="0" applyFont="1" applyBorder="1" applyAlignment="1">
      <alignment horizontal="left" vertical="center"/>
    </xf>
    <xf numFmtId="3" fontId="43" fillId="0" borderId="23" xfId="0" applyNumberFormat="1" applyFont="1" applyBorder="1"/>
    <xf numFmtId="3" fontId="42" fillId="0" borderId="23" xfId="0" applyNumberFormat="1" applyFont="1" applyBorder="1"/>
    <xf numFmtId="0" fontId="42" fillId="0" borderId="23" xfId="0" applyFont="1" applyBorder="1"/>
    <xf numFmtId="0" fontId="43" fillId="0" borderId="23" xfId="0" applyFont="1" applyBorder="1" applyAlignment="1">
      <alignment wrapText="1"/>
    </xf>
    <xf numFmtId="0" fontId="44" fillId="0" borderId="23" xfId="0" applyFont="1" applyBorder="1" applyAlignment="1">
      <alignment wrapText="1"/>
    </xf>
    <xf numFmtId="3" fontId="20" fillId="0" borderId="23" xfId="0" applyNumberFormat="1" applyFont="1" applyBorder="1"/>
    <xf numFmtId="0" fontId="48" fillId="0" borderId="23" xfId="0" applyFont="1" applyFill="1" applyBorder="1" applyAlignment="1">
      <alignment wrapText="1"/>
    </xf>
    <xf numFmtId="3" fontId="44" fillId="0" borderId="23" xfId="0" applyNumberFormat="1" applyFont="1" applyBorder="1"/>
    <xf numFmtId="0" fontId="41" fillId="0" borderId="23" xfId="0" applyFont="1" applyBorder="1"/>
    <xf numFmtId="3" fontId="41" fillId="0" borderId="23" xfId="0" applyNumberFormat="1" applyFont="1" applyBorder="1"/>
    <xf numFmtId="0" fontId="20" fillId="0" borderId="23" xfId="0" applyFont="1" applyBorder="1"/>
    <xf numFmtId="0" fontId="43" fillId="0" borderId="23" xfId="0" applyFont="1" applyBorder="1"/>
    <xf numFmtId="0" fontId="43" fillId="0" borderId="23" xfId="0" applyFont="1" applyBorder="1" applyAlignment="1">
      <alignment horizontal="left" vertical="center" wrapText="1"/>
    </xf>
    <xf numFmtId="3" fontId="43" fillId="0" borderId="23" xfId="0" applyNumberFormat="1" applyFont="1" applyBorder="1" applyAlignment="1">
      <alignment horizontal="center" vertical="center"/>
    </xf>
    <xf numFmtId="3" fontId="43" fillId="0" borderId="23" xfId="0" applyNumberFormat="1" applyFont="1" applyBorder="1" applyAlignment="1">
      <alignment horizontal="right" vertical="center"/>
    </xf>
    <xf numFmtId="3" fontId="53" fillId="0" borderId="23" xfId="0" applyNumberFormat="1" applyFont="1" applyBorder="1" applyAlignment="1">
      <alignment horizontal="right" vertical="center"/>
    </xf>
    <xf numFmtId="0" fontId="49" fillId="0" borderId="23" xfId="0" applyFont="1" applyBorder="1"/>
    <xf numFmtId="0" fontId="43" fillId="0" borderId="23" xfId="0" applyFont="1" applyBorder="1" applyAlignment="1">
      <alignment vertical="center" wrapText="1"/>
    </xf>
    <xf numFmtId="3" fontId="20" fillId="0" borderId="23" xfId="0" applyNumberFormat="1" applyFont="1" applyBorder="1" applyAlignment="1">
      <alignment vertical="center"/>
    </xf>
    <xf numFmtId="0" fontId="44" fillId="0" borderId="23" xfId="0" applyFont="1" applyBorder="1"/>
    <xf numFmtId="3" fontId="69" fillId="0" borderId="40" xfId="0" applyNumberFormat="1" applyFont="1" applyBorder="1" applyAlignment="1">
      <alignment horizontal="center" vertical="center" wrapText="1"/>
    </xf>
    <xf numFmtId="3" fontId="69" fillId="0" borderId="22" xfId="0" applyNumberFormat="1" applyFont="1" applyBorder="1" applyAlignment="1">
      <alignment horizontal="center" vertical="center" wrapText="1"/>
    </xf>
    <xf numFmtId="3" fontId="69" fillId="0" borderId="18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64" fillId="0" borderId="23" xfId="0" applyFont="1" applyBorder="1"/>
    <xf numFmtId="3" fontId="25" fillId="0" borderId="23" xfId="0" applyNumberFormat="1" applyFont="1" applyBorder="1"/>
    <xf numFmtId="3" fontId="64" fillId="0" borderId="23" xfId="0" applyNumberFormat="1" applyFont="1" applyBorder="1"/>
    <xf numFmtId="3" fontId="28" fillId="0" borderId="23" xfId="0" applyNumberFormat="1" applyFont="1" applyBorder="1"/>
    <xf numFmtId="0" fontId="35" fillId="0" borderId="23" xfId="0" applyFont="1" applyBorder="1"/>
    <xf numFmtId="0" fontId="57" fillId="0" borderId="23" xfId="0" applyFont="1" applyBorder="1"/>
    <xf numFmtId="3" fontId="58" fillId="0" borderId="23" xfId="0" applyNumberFormat="1" applyFont="1" applyBorder="1"/>
    <xf numFmtId="3" fontId="58" fillId="0" borderId="23" xfId="74" applyNumberFormat="1" applyFont="1" applyBorder="1"/>
    <xf numFmtId="3" fontId="35" fillId="0" borderId="23" xfId="0" applyNumberFormat="1" applyFont="1" applyBorder="1"/>
    <xf numFmtId="0" fontId="28" fillId="0" borderId="23" xfId="0" applyFont="1" applyBorder="1"/>
    <xf numFmtId="0" fontId="66" fillId="0" borderId="23" xfId="0" applyFont="1" applyBorder="1"/>
    <xf numFmtId="3" fontId="140" fillId="0" borderId="23" xfId="0" applyNumberFormat="1" applyFont="1" applyBorder="1"/>
    <xf numFmtId="3" fontId="39" fillId="0" borderId="23" xfId="0" applyNumberFormat="1" applyFont="1" applyBorder="1"/>
    <xf numFmtId="3" fontId="34" fillId="0" borderId="23" xfId="0" applyNumberFormat="1" applyFont="1" applyBorder="1"/>
    <xf numFmtId="3" fontId="59" fillId="0" borderId="23" xfId="0" applyNumberFormat="1" applyFont="1" applyBorder="1"/>
    <xf numFmtId="3" fontId="30" fillId="0" borderId="23" xfId="0" applyNumberFormat="1" applyFont="1" applyBorder="1"/>
    <xf numFmtId="0" fontId="34" fillId="0" borderId="23" xfId="0" applyFont="1" applyBorder="1"/>
    <xf numFmtId="0" fontId="30" fillId="0" borderId="23" xfId="0" applyFont="1" applyBorder="1"/>
    <xf numFmtId="0" fontId="68" fillId="0" borderId="23" xfId="0" applyFont="1" applyBorder="1"/>
    <xf numFmtId="0" fontId="25" fillId="0" borderId="23" xfId="0" applyFont="1" applyBorder="1"/>
    <xf numFmtId="3" fontId="57" fillId="0" borderId="23" xfId="0" applyNumberFormat="1" applyFont="1" applyBorder="1" applyAlignment="1">
      <alignment wrapText="1"/>
    </xf>
    <xf numFmtId="3" fontId="58" fillId="0" borderId="23" xfId="0" applyNumberFormat="1" applyFont="1" applyBorder="1" applyAlignment="1">
      <alignment wrapText="1"/>
    </xf>
    <xf numFmtId="0" fontId="28" fillId="0" borderId="23" xfId="0" applyFont="1" applyBorder="1" applyAlignment="1">
      <alignment horizontal="center" vertical="center"/>
    </xf>
    <xf numFmtId="0" fontId="28" fillId="0" borderId="23" xfId="0" applyFont="1" applyBorder="1" applyAlignment="1">
      <alignment wrapText="1"/>
    </xf>
    <xf numFmtId="0" fontId="58" fillId="0" borderId="23" xfId="0" applyFont="1" applyBorder="1"/>
    <xf numFmtId="3" fontId="57" fillId="0" borderId="23" xfId="0" applyNumberFormat="1" applyFont="1" applyBorder="1"/>
    <xf numFmtId="3" fontId="59" fillId="0" borderId="23" xfId="0" applyNumberFormat="1" applyFont="1" applyBorder="1" applyAlignment="1">
      <alignment wrapText="1"/>
    </xf>
    <xf numFmtId="0" fontId="28" fillId="0" borderId="108" xfId="0" applyFont="1" applyBorder="1" applyAlignment="1">
      <alignment horizontal="center"/>
    </xf>
    <xf numFmtId="0" fontId="25" fillId="0" borderId="31" xfId="0" applyFont="1" applyBorder="1"/>
    <xf numFmtId="3" fontId="30" fillId="0" borderId="31" xfId="0" applyNumberFormat="1" applyFont="1" applyFill="1" applyBorder="1"/>
    <xf numFmtId="3" fontId="25" fillId="0" borderId="31" xfId="0" applyNumberFormat="1" applyFont="1" applyFill="1" applyBorder="1"/>
    <xf numFmtId="0" fontId="35" fillId="0" borderId="23" xfId="0" applyFont="1" applyBorder="1" applyAlignment="1"/>
    <xf numFmtId="0" fontId="82" fillId="0" borderId="0" xfId="0" applyFont="1" applyBorder="1"/>
    <xf numFmtId="0" fontId="85" fillId="0" borderId="0" xfId="0" applyFont="1" applyBorder="1"/>
    <xf numFmtId="0" fontId="85" fillId="0" borderId="0" xfId="0" applyFont="1" applyFill="1" applyBorder="1"/>
    <xf numFmtId="3" fontId="69" fillId="0" borderId="52" xfId="0" applyNumberFormat="1" applyFont="1" applyBorder="1" applyAlignment="1">
      <alignment horizontal="center" vertical="center" wrapText="1"/>
    </xf>
    <xf numFmtId="3" fontId="69" fillId="0" borderId="14" xfId="0" applyNumberFormat="1" applyFont="1" applyBorder="1" applyAlignment="1">
      <alignment horizontal="center" vertical="center" wrapText="1"/>
    </xf>
    <xf numFmtId="1" fontId="58" fillId="0" borderId="23" xfId="0" applyNumberFormat="1" applyFont="1" applyBorder="1" applyAlignment="1">
      <alignment horizontal="center" vertical="center"/>
    </xf>
    <xf numFmtId="0" fontId="58" fillId="0" borderId="23" xfId="0" applyFont="1" applyBorder="1" applyAlignment="1">
      <alignment horizontal="left" vertical="center" wrapText="1"/>
    </xf>
    <xf numFmtId="3" fontId="82" fillId="0" borderId="23" xfId="0" applyNumberFormat="1" applyFont="1" applyBorder="1" applyAlignment="1">
      <alignment horizontal="center" vertical="center" wrapText="1"/>
    </xf>
    <xf numFmtId="0" fontId="131" fillId="0" borderId="23" xfId="0" applyFont="1" applyBorder="1"/>
    <xf numFmtId="0" fontId="58" fillId="0" borderId="23" xfId="0" applyFont="1" applyBorder="1" applyAlignment="1">
      <alignment horizontal="left" vertical="center"/>
    </xf>
    <xf numFmtId="3" fontId="58" fillId="0" borderId="23" xfId="0" applyNumberFormat="1" applyFont="1" applyBorder="1" applyAlignment="1">
      <alignment horizontal="left" vertical="center" wrapText="1"/>
    </xf>
    <xf numFmtId="3" fontId="59" fillId="0" borderId="23" xfId="0" applyNumberFormat="1" applyFont="1" applyBorder="1" applyAlignment="1">
      <alignment horizontal="center" vertical="center" wrapText="1"/>
    </xf>
    <xf numFmtId="3" fontId="58" fillId="0" borderId="23" xfId="0" applyNumberFormat="1" applyFont="1" applyBorder="1" applyAlignment="1">
      <alignment horizontal="right" vertical="center" wrapText="1"/>
    </xf>
    <xf numFmtId="3" fontId="58" fillId="0" borderId="23" xfId="0" applyNumberFormat="1" applyFont="1" applyBorder="1" applyAlignment="1">
      <alignment vertical="center"/>
    </xf>
    <xf numFmtId="0" fontId="89" fillId="0" borderId="23" xfId="0" applyFont="1" applyBorder="1"/>
    <xf numFmtId="3" fontId="58" fillId="0" borderId="23" xfId="0" applyNumberFormat="1" applyFont="1" applyBorder="1" applyAlignment="1">
      <alignment horizontal="center" vertical="center" wrapText="1"/>
    </xf>
    <xf numFmtId="0" fontId="119" fillId="0" borderId="23" xfId="0" applyFont="1" applyBorder="1"/>
    <xf numFmtId="0" fontId="58" fillId="0" borderId="23" xfId="0" applyFont="1" applyFill="1" applyBorder="1"/>
    <xf numFmtId="3" fontId="58" fillId="0" borderId="23" xfId="0" applyNumberFormat="1" applyFont="1" applyFill="1" applyBorder="1"/>
    <xf numFmtId="0" fontId="57" fillId="0" borderId="23" xfId="0" applyFont="1" applyFill="1" applyBorder="1"/>
    <xf numFmtId="0" fontId="111" fillId="0" borderId="23" xfId="0" applyFont="1" applyBorder="1"/>
    <xf numFmtId="3" fontId="58" fillId="0" borderId="23" xfId="0" applyNumberFormat="1" applyFont="1" applyBorder="1" applyAlignment="1">
      <alignment horizontal="right" vertical="center"/>
    </xf>
    <xf numFmtId="0" fontId="58" fillId="0" borderId="23" xfId="0" applyFont="1" applyBorder="1" applyAlignment="1">
      <alignment wrapText="1"/>
    </xf>
    <xf numFmtId="3" fontId="151" fillId="0" borderId="23" xfId="0" applyNumberFormat="1" applyFont="1" applyBorder="1"/>
    <xf numFmtId="3" fontId="145" fillId="0" borderId="23" xfId="0" applyNumberFormat="1" applyFont="1" applyBorder="1"/>
    <xf numFmtId="0" fontId="58" fillId="0" borderId="23" xfId="0" applyFont="1" applyBorder="1" applyAlignment="1">
      <alignment vertical="center" wrapText="1"/>
    </xf>
    <xf numFmtId="1" fontId="58" fillId="0" borderId="24" xfId="0" applyNumberFormat="1" applyFont="1" applyBorder="1" applyAlignment="1">
      <alignment horizontal="center" vertical="center"/>
    </xf>
    <xf numFmtId="0" fontId="58" fillId="0" borderId="24" xfId="0" applyFont="1" applyBorder="1" applyAlignment="1">
      <alignment vertical="center" wrapText="1"/>
    </xf>
    <xf numFmtId="3" fontId="58" fillId="0" borderId="24" xfId="0" applyNumberFormat="1" applyFont="1" applyBorder="1" applyAlignment="1">
      <alignment vertical="center"/>
    </xf>
    <xf numFmtId="0" fontId="57" fillId="0" borderId="24" xfId="0" applyFont="1" applyBorder="1"/>
    <xf numFmtId="3" fontId="57" fillId="0" borderId="31" xfId="0" applyNumberFormat="1" applyFont="1" applyBorder="1"/>
    <xf numFmtId="0" fontId="90" fillId="0" borderId="126" xfId="0" applyFont="1" applyBorder="1" applyAlignment="1">
      <alignment horizontal="center"/>
    </xf>
    <xf numFmtId="0" fontId="90" fillId="0" borderId="14" xfId="0" applyFont="1" applyBorder="1" applyAlignment="1">
      <alignment horizontal="center"/>
    </xf>
    <xf numFmtId="3" fontId="89" fillId="0" borderId="113" xfId="0" applyNumberFormat="1" applyFont="1" applyBorder="1" applyAlignment="1">
      <alignment horizontal="center"/>
    </xf>
    <xf numFmtId="3" fontId="64" fillId="0" borderId="49" xfId="0" applyNumberFormat="1" applyFont="1" applyBorder="1" applyAlignment="1">
      <alignment horizontal="center"/>
    </xf>
    <xf numFmtId="3" fontId="91" fillId="0" borderId="52" xfId="0" applyNumberFormat="1" applyFont="1" applyBorder="1" applyAlignment="1">
      <alignment horizontal="center" vertical="center" wrapText="1"/>
    </xf>
    <xf numFmtId="3" fontId="93" fillId="0" borderId="88" xfId="0" applyNumberFormat="1" applyFont="1" applyBorder="1" applyAlignment="1">
      <alignment horizontal="center" vertical="center" wrapText="1"/>
    </xf>
    <xf numFmtId="3" fontId="59" fillId="0" borderId="88" xfId="0" applyNumberFormat="1" applyFont="1" applyBorder="1" applyAlignment="1">
      <alignment horizontal="center" vertical="center" wrapText="1"/>
    </xf>
    <xf numFmtId="3" fontId="58" fillId="0" borderId="88" xfId="0" applyNumberFormat="1" applyFont="1" applyBorder="1"/>
    <xf numFmtId="3" fontId="58" fillId="0" borderId="88" xfId="0" applyNumberFormat="1" applyFont="1" applyFill="1" applyBorder="1"/>
    <xf numFmtId="3" fontId="58" fillId="0" borderId="88" xfId="0" applyNumberFormat="1" applyFont="1" applyBorder="1" applyAlignment="1">
      <alignment horizontal="right" vertical="center"/>
    </xf>
    <xf numFmtId="3" fontId="58" fillId="0" borderId="88" xfId="0" applyNumberFormat="1" applyFont="1" applyBorder="1" applyAlignment="1">
      <alignment vertical="center"/>
    </xf>
    <xf numFmtId="3" fontId="58" fillId="0" borderId="88" xfId="0" applyNumberFormat="1" applyFont="1" applyBorder="1" applyAlignment="1">
      <alignment horizontal="right" vertical="center" wrapText="1"/>
    </xf>
    <xf numFmtId="3" fontId="58" fillId="0" borderId="79" xfId="0" applyNumberFormat="1" applyFont="1" applyBorder="1" applyAlignment="1">
      <alignment vertical="center"/>
    </xf>
    <xf numFmtId="3" fontId="69" fillId="0" borderId="124" xfId="0" applyNumberFormat="1" applyFont="1" applyBorder="1" applyAlignment="1">
      <alignment horizontal="center" vertical="center" wrapText="1"/>
    </xf>
    <xf numFmtId="3" fontId="93" fillId="0" borderId="119" xfId="0" applyNumberFormat="1" applyFont="1" applyBorder="1" applyAlignment="1">
      <alignment horizontal="center" vertical="center" wrapText="1"/>
    </xf>
    <xf numFmtId="3" fontId="59" fillId="0" borderId="119" xfId="0" applyNumberFormat="1" applyFont="1" applyBorder="1" applyAlignment="1">
      <alignment horizontal="center" vertical="center" wrapText="1"/>
    </xf>
    <xf numFmtId="3" fontId="58" fillId="0" borderId="119" xfId="0" applyNumberFormat="1" applyFont="1" applyBorder="1"/>
    <xf numFmtId="3" fontId="58" fillId="0" borderId="119" xfId="0" applyNumberFormat="1" applyFont="1" applyFill="1" applyBorder="1"/>
    <xf numFmtId="3" fontId="58" fillId="0" borderId="119" xfId="0" applyNumberFormat="1" applyFont="1" applyBorder="1" applyAlignment="1">
      <alignment horizontal="right" vertical="center"/>
    </xf>
    <xf numFmtId="3" fontId="58" fillId="0" borderId="119" xfId="0" applyNumberFormat="1" applyFont="1" applyBorder="1" applyAlignment="1">
      <alignment vertical="center"/>
    </xf>
    <xf numFmtId="3" fontId="58" fillId="0" borderId="119" xfId="0" applyNumberFormat="1" applyFont="1" applyBorder="1" applyAlignment="1">
      <alignment horizontal="right" vertical="center" wrapText="1"/>
    </xf>
    <xf numFmtId="3" fontId="58" fillId="0" borderId="120" xfId="0" applyNumberFormat="1" applyFont="1" applyBorder="1" applyAlignment="1">
      <alignment vertical="center"/>
    </xf>
    <xf numFmtId="3" fontId="82" fillId="0" borderId="88" xfId="0" applyNumberFormat="1" applyFont="1" applyBorder="1" applyAlignment="1">
      <alignment horizontal="center" vertical="center" wrapText="1"/>
    </xf>
    <xf numFmtId="3" fontId="145" fillId="0" borderId="88" xfId="0" applyNumberFormat="1" applyFont="1" applyBorder="1"/>
    <xf numFmtId="3" fontId="59" fillId="0" borderId="108" xfId="0" applyNumberFormat="1" applyFont="1" applyBorder="1"/>
    <xf numFmtId="3" fontId="145" fillId="0" borderId="119" xfId="0" applyNumberFormat="1" applyFont="1" applyBorder="1"/>
    <xf numFmtId="3" fontId="58" fillId="0" borderId="88" xfId="0" applyNumberFormat="1" applyFont="1" applyBorder="1" applyAlignment="1">
      <alignment horizontal="center" vertical="center" wrapText="1"/>
    </xf>
    <xf numFmtId="3" fontId="91" fillId="0" borderId="110" xfId="0" applyNumberFormat="1" applyFont="1" applyBorder="1" applyAlignment="1">
      <alignment horizontal="center" vertical="center" wrapText="1"/>
    </xf>
    <xf numFmtId="3" fontId="59" fillId="0" borderId="88" xfId="0" applyNumberFormat="1" applyFont="1" applyBorder="1"/>
    <xf numFmtId="3" fontId="59" fillId="0" borderId="88" xfId="0" applyNumberFormat="1" applyFont="1" applyBorder="1" applyAlignment="1">
      <alignment horizontal="right" vertical="center"/>
    </xf>
    <xf numFmtId="3" fontId="59" fillId="0" borderId="88" xfId="0" applyNumberFormat="1" applyFont="1" applyBorder="1" applyAlignment="1">
      <alignment vertical="center"/>
    </xf>
    <xf numFmtId="3" fontId="59" fillId="0" borderId="79" xfId="0" applyNumberFormat="1" applyFont="1" applyBorder="1" applyAlignment="1">
      <alignment vertical="center"/>
    </xf>
    <xf numFmtId="3" fontId="59" fillId="0" borderId="88" xfId="0" applyNumberFormat="1" applyFont="1" applyFill="1" applyBorder="1"/>
    <xf numFmtId="3" fontId="58" fillId="0" borderId="119" xfId="0" applyNumberFormat="1" applyFont="1" applyBorder="1" applyAlignment="1">
      <alignment horizontal="center" vertical="center" wrapText="1"/>
    </xf>
    <xf numFmtId="0" fontId="132" fillId="0" borderId="119" xfId="0" applyFont="1" applyBorder="1"/>
    <xf numFmtId="0" fontId="89" fillId="0" borderId="119" xfId="0" applyFont="1" applyBorder="1"/>
    <xf numFmtId="0" fontId="89" fillId="0" borderId="119" xfId="0" applyFont="1" applyBorder="1" applyAlignment="1">
      <alignment horizontal="center"/>
    </xf>
    <xf numFmtId="0" fontId="89" fillId="0" borderId="119" xfId="0" applyFont="1" applyFill="1" applyBorder="1"/>
    <xf numFmtId="0" fontId="89" fillId="0" borderId="120" xfId="0" applyFont="1" applyBorder="1"/>
    <xf numFmtId="0" fontId="89" fillId="0" borderId="56" xfId="0" applyFont="1" applyBorder="1"/>
    <xf numFmtId="3" fontId="89" fillId="0" borderId="53" xfId="0" applyNumberFormat="1" applyFont="1" applyBorder="1"/>
    <xf numFmtId="0" fontId="89" fillId="0" borderId="53" xfId="0" applyFont="1" applyBorder="1"/>
    <xf numFmtId="0" fontId="89" fillId="0" borderId="54" xfId="0" applyFont="1" applyBorder="1"/>
    <xf numFmtId="0" fontId="89" fillId="0" borderId="38" xfId="0" applyFont="1" applyBorder="1"/>
    <xf numFmtId="0" fontId="89" fillId="0" borderId="111" xfId="0" applyFont="1" applyBorder="1"/>
    <xf numFmtId="0" fontId="43" fillId="0" borderId="23" xfId="0" applyFont="1" applyBorder="1" applyAlignment="1">
      <alignment horizontal="left" wrapText="1"/>
    </xf>
    <xf numFmtId="0" fontId="43" fillId="0" borderId="23" xfId="0" applyFont="1" applyFill="1" applyBorder="1" applyAlignment="1">
      <alignment horizontal="left" wrapText="1"/>
    </xf>
    <xf numFmtId="0" fontId="44" fillId="0" borderId="23" xfId="0" applyFont="1" applyBorder="1" applyAlignment="1">
      <alignment horizontal="center" wrapText="1"/>
    </xf>
    <xf numFmtId="0" fontId="44" fillId="0" borderId="24" xfId="0" applyFont="1" applyBorder="1" applyAlignment="1">
      <alignment vertical="center" wrapText="1"/>
    </xf>
    <xf numFmtId="0" fontId="44" fillId="0" borderId="24" xfId="0" applyFont="1" applyBorder="1"/>
    <xf numFmtId="0" fontId="20" fillId="0" borderId="24" xfId="0" applyFont="1" applyBorder="1"/>
    <xf numFmtId="0" fontId="53" fillId="0" borderId="46" xfId="0" applyFont="1" applyBorder="1"/>
    <xf numFmtId="0" fontId="43" fillId="0" borderId="31" xfId="0" applyFont="1" applyBorder="1" applyAlignment="1">
      <alignment horizontal="center"/>
    </xf>
    <xf numFmtId="0" fontId="44" fillId="0" borderId="26" xfId="0" applyFont="1" applyBorder="1"/>
    <xf numFmtId="0" fontId="44" fillId="0" borderId="31" xfId="0" applyFont="1" applyBorder="1" applyAlignment="1">
      <alignment wrapText="1"/>
    </xf>
    <xf numFmtId="0" fontId="53" fillId="0" borderId="31" xfId="0" applyFont="1" applyBorder="1"/>
    <xf numFmtId="0" fontId="53" fillId="0" borderId="56" xfId="0" applyFont="1" applyBorder="1"/>
    <xf numFmtId="3" fontId="93" fillId="0" borderId="48" xfId="0" applyNumberFormat="1" applyFont="1" applyBorder="1" applyAlignment="1">
      <alignment horizontal="center" vertical="center" wrapText="1"/>
    </xf>
    <xf numFmtId="3" fontId="57" fillId="0" borderId="23" xfId="74" applyNumberFormat="1" applyFont="1" applyBorder="1"/>
    <xf numFmtId="3" fontId="68" fillId="0" borderId="23" xfId="0" applyNumberFormat="1" applyFont="1" applyBorder="1"/>
    <xf numFmtId="3" fontId="38" fillId="0" borderId="23" xfId="0" applyNumberFormat="1" applyFont="1" applyBorder="1"/>
    <xf numFmtId="3" fontId="66" fillId="0" borderId="23" xfId="0" applyNumberFormat="1" applyFont="1" applyBorder="1"/>
    <xf numFmtId="3" fontId="64" fillId="0" borderId="23" xfId="0" applyNumberFormat="1" applyFont="1" applyBorder="1" applyAlignment="1">
      <alignment wrapText="1"/>
    </xf>
    <xf numFmtId="3" fontId="69" fillId="0" borderId="24" xfId="0" applyNumberFormat="1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3" fontId="93" fillId="0" borderId="24" xfId="0" applyNumberFormat="1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38" fillId="0" borderId="23" xfId="0" applyFont="1" applyBorder="1"/>
    <xf numFmtId="0" fontId="25" fillId="0" borderId="23" xfId="0" applyFont="1" applyBorder="1" applyAlignment="1">
      <alignment wrapText="1"/>
    </xf>
    <xf numFmtId="3" fontId="30" fillId="0" borderId="23" xfId="0" applyNumberFormat="1" applyFont="1" applyFill="1" applyBorder="1"/>
    <xf numFmtId="0" fontId="30" fillId="0" borderId="23" xfId="0" applyFont="1" applyBorder="1" applyAlignment="1">
      <alignment horizontal="center" vertical="center"/>
    </xf>
    <xf numFmtId="3" fontId="74" fillId="0" borderId="23" xfId="0" applyNumberFormat="1" applyFont="1" applyBorder="1" applyAlignment="1">
      <alignment horizontal="center" vertical="center"/>
    </xf>
    <xf numFmtId="3" fontId="25" fillId="0" borderId="23" xfId="0" applyNumberFormat="1" applyFont="1" applyFill="1" applyBorder="1"/>
    <xf numFmtId="3" fontId="122" fillId="0" borderId="23" xfId="0" applyNumberFormat="1" applyFont="1" applyBorder="1"/>
    <xf numFmtId="0" fontId="30" fillId="0" borderId="48" xfId="0" applyFont="1" applyBorder="1" applyAlignment="1">
      <alignment horizontal="center" vertical="center"/>
    </xf>
    <xf numFmtId="3" fontId="93" fillId="0" borderId="40" xfId="0" applyNumberFormat="1" applyFont="1" applyBorder="1" applyAlignment="1">
      <alignment horizontal="center" vertical="center" wrapText="1"/>
    </xf>
    <xf numFmtId="3" fontId="30" fillId="0" borderId="20" xfId="0" applyNumberFormat="1" applyFont="1" applyBorder="1" applyAlignment="1">
      <alignment horizontal="center" vertical="center"/>
    </xf>
    <xf numFmtId="0" fontId="35" fillId="0" borderId="23" xfId="0" applyFont="1" applyBorder="1" applyAlignment="1">
      <alignment horizontal="center"/>
    </xf>
    <xf numFmtId="0" fontId="59" fillId="0" borderId="23" xfId="0" applyFont="1" applyBorder="1"/>
    <xf numFmtId="0" fontId="138" fillId="0" borderId="23" xfId="0" applyFont="1" applyBorder="1"/>
    <xf numFmtId="0" fontId="39" fillId="0" borderId="23" xfId="0" applyFont="1" applyBorder="1"/>
    <xf numFmtId="3" fontId="138" fillId="0" borderId="23" xfId="74" applyNumberFormat="1" applyFont="1" applyBorder="1"/>
    <xf numFmtId="0" fontId="35" fillId="0" borderId="23" xfId="0" applyFont="1" applyBorder="1" applyAlignment="1">
      <alignment horizontal="center" vertical="center"/>
    </xf>
    <xf numFmtId="0" fontId="30" fillId="0" borderId="23" xfId="0" applyFont="1" applyBorder="1" applyAlignment="1">
      <alignment wrapText="1"/>
    </xf>
    <xf numFmtId="0" fontId="35" fillId="0" borderId="23" xfId="0" applyFont="1" applyBorder="1" applyAlignment="1">
      <alignment wrapText="1"/>
    </xf>
    <xf numFmtId="0" fontId="29" fillId="0" borderId="48" xfId="0" applyFont="1" applyBorder="1" applyAlignment="1">
      <alignment horizontal="center" vertical="center" wrapText="1"/>
    </xf>
    <xf numFmtId="3" fontId="29" fillId="0" borderId="48" xfId="0" applyNumberFormat="1" applyFont="1" applyBorder="1" applyAlignment="1">
      <alignment horizontal="center" vertical="center" wrapText="1"/>
    </xf>
    <xf numFmtId="0" fontId="81" fillId="0" borderId="23" xfId="0" applyFont="1" applyBorder="1"/>
    <xf numFmtId="0" fontId="24" fillId="0" borderId="23" xfId="0" applyFont="1" applyBorder="1"/>
    <xf numFmtId="0" fontId="22" fillId="0" borderId="23" xfId="0" applyFont="1" applyBorder="1"/>
    <xf numFmtId="3" fontId="22" fillId="0" borderId="23" xfId="0" applyNumberFormat="1" applyFont="1" applyBorder="1"/>
    <xf numFmtId="0" fontId="23" fillId="0" borderId="23" xfId="0" applyFont="1" applyBorder="1"/>
    <xf numFmtId="0" fontId="22" fillId="0" borderId="23" xfId="0" applyFont="1" applyFill="1" applyBorder="1" applyAlignment="1">
      <alignment wrapText="1"/>
    </xf>
    <xf numFmtId="3" fontId="23" fillId="0" borderId="23" xfId="0" applyNumberFormat="1" applyFont="1" applyBorder="1"/>
    <xf numFmtId="0" fontId="121" fillId="0" borderId="23" xfId="0" applyFont="1" applyBorder="1"/>
    <xf numFmtId="9" fontId="22" fillId="0" borderId="23" xfId="0" applyNumberFormat="1" applyFont="1" applyBorder="1" applyAlignment="1">
      <alignment horizontal="left"/>
    </xf>
    <xf numFmtId="3" fontId="26" fillId="0" borderId="23" xfId="0" applyNumberFormat="1" applyFont="1" applyBorder="1"/>
    <xf numFmtId="0" fontId="109" fillId="0" borderId="23" xfId="0" applyFont="1" applyFill="1" applyBorder="1"/>
    <xf numFmtId="10" fontId="23" fillId="0" borderId="23" xfId="0" applyNumberFormat="1" applyFont="1" applyFill="1" applyBorder="1" applyAlignment="1">
      <alignment horizontal="left"/>
    </xf>
    <xf numFmtId="0" fontId="83" fillId="0" borderId="23" xfId="0" applyFont="1" applyBorder="1"/>
    <xf numFmtId="10" fontId="22" fillId="0" borderId="23" xfId="0" applyNumberFormat="1" applyFont="1" applyBorder="1"/>
    <xf numFmtId="0" fontId="22" fillId="0" borderId="23" xfId="0" applyFont="1" applyBorder="1" applyAlignment="1">
      <alignment wrapText="1"/>
    </xf>
    <xf numFmtId="9" fontId="22" fillId="0" borderId="23" xfId="0" applyNumberFormat="1" applyFont="1" applyBorder="1"/>
    <xf numFmtId="0" fontId="22" fillId="0" borderId="23" xfId="0" applyFont="1" applyBorder="1" applyAlignment="1">
      <alignment vertical="top"/>
    </xf>
    <xf numFmtId="10" fontId="22" fillId="0" borderId="23" xfId="0" applyNumberFormat="1" applyFont="1" applyBorder="1" applyAlignment="1">
      <alignment wrapText="1"/>
    </xf>
    <xf numFmtId="10" fontId="23" fillId="0" borderId="23" xfId="0" applyNumberFormat="1" applyFont="1" applyBorder="1"/>
    <xf numFmtId="3" fontId="26" fillId="0" borderId="23" xfId="0" applyNumberFormat="1" applyFont="1" applyFill="1" applyBorder="1"/>
    <xf numFmtId="0" fontId="33" fillId="0" borderId="23" xfId="0" applyFont="1" applyBorder="1"/>
    <xf numFmtId="0" fontId="36" fillId="0" borderId="23" xfId="0" applyFont="1" applyBorder="1"/>
    <xf numFmtId="3" fontId="28" fillId="25" borderId="23" xfId="0" applyNumberFormat="1" applyFont="1" applyFill="1" applyBorder="1"/>
    <xf numFmtId="3" fontId="137" fillId="0" borderId="23" xfId="0" applyNumberFormat="1" applyFont="1" applyBorder="1"/>
    <xf numFmtId="0" fontId="77" fillId="0" borderId="23" xfId="0" applyFont="1" applyBorder="1" applyAlignment="1">
      <alignment horizontal="left" vertical="center"/>
    </xf>
    <xf numFmtId="0" fontId="25" fillId="0" borderId="23" xfId="0" applyFont="1" applyBorder="1" applyAlignment="1">
      <alignment horizontal="left" vertical="center"/>
    </xf>
    <xf numFmtId="0" fontId="34" fillId="0" borderId="23" xfId="0" applyFont="1" applyBorder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8" fillId="0" borderId="23" xfId="0" applyFont="1" applyBorder="1" applyAlignment="1">
      <alignment horizontal="left"/>
    </xf>
    <xf numFmtId="0" fontId="34" fillId="0" borderId="23" xfId="0" applyFont="1" applyBorder="1" applyAlignment="1">
      <alignment wrapText="1"/>
    </xf>
    <xf numFmtId="0" fontId="77" fillId="0" borderId="23" xfId="0" applyFont="1" applyBorder="1"/>
    <xf numFmtId="0" fontId="25" fillId="0" borderId="23" xfId="0" applyFont="1" applyBorder="1" applyAlignment="1">
      <alignment horizontal="left"/>
    </xf>
    <xf numFmtId="0" fontId="25" fillId="0" borderId="48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/>
    </xf>
    <xf numFmtId="0" fontId="79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wrapText="1"/>
    </xf>
    <xf numFmtId="0" fontId="80" fillId="0" borderId="23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62" fillId="0" borderId="23" xfId="0" applyFont="1" applyBorder="1" applyAlignment="1">
      <alignment wrapText="1"/>
    </xf>
    <xf numFmtId="3" fontId="80" fillId="0" borderId="23" xfId="0" applyNumberFormat="1" applyFont="1" applyBorder="1" applyAlignment="1">
      <alignment wrapText="1"/>
    </xf>
    <xf numFmtId="0" fontId="80" fillId="0" borderId="23" xfId="0" applyFont="1" applyBorder="1" applyAlignment="1">
      <alignment wrapText="1"/>
    </xf>
    <xf numFmtId="0" fontId="56" fillId="0" borderId="23" xfId="0" applyFont="1" applyBorder="1" applyAlignment="1">
      <alignment horizontal="center"/>
    </xf>
    <xf numFmtId="0" fontId="141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horizontal="center" vertical="center" wrapText="1"/>
    </xf>
    <xf numFmtId="3" fontId="31" fillId="0" borderId="23" xfId="0" applyNumberFormat="1" applyFont="1" applyBorder="1"/>
    <xf numFmtId="0" fontId="40" fillId="0" borderId="23" xfId="0" applyFont="1" applyBorder="1"/>
    <xf numFmtId="0" fontId="56" fillId="0" borderId="23" xfId="0" applyFont="1" applyBorder="1" applyAlignment="1">
      <alignment horizontal="center" vertical="center"/>
    </xf>
    <xf numFmtId="0" fontId="110" fillId="0" borderId="23" xfId="0" applyFont="1" applyBorder="1" applyAlignment="1">
      <alignment vertical="center" wrapText="1"/>
    </xf>
    <xf numFmtId="3" fontId="31" fillId="0" borderId="23" xfId="0" applyNumberFormat="1" applyFont="1" applyBorder="1" applyAlignment="1">
      <alignment vertical="center"/>
    </xf>
    <xf numFmtId="0" fontId="31" fillId="0" borderId="23" xfId="0" applyFont="1" applyBorder="1" applyAlignment="1">
      <alignment wrapText="1"/>
    </xf>
    <xf numFmtId="0" fontId="31" fillId="0" borderId="23" xfId="0" applyFont="1" applyBorder="1" applyAlignment="1">
      <alignment horizontal="left" wrapText="1"/>
    </xf>
    <xf numFmtId="0" fontId="31" fillId="25" borderId="23" xfId="0" applyFont="1" applyFill="1" applyBorder="1" applyAlignment="1">
      <alignment horizontal="left" wrapText="1"/>
    </xf>
    <xf numFmtId="3" fontId="31" fillId="25" borderId="23" xfId="0" applyNumberFormat="1" applyFont="1" applyFill="1" applyBorder="1"/>
    <xf numFmtId="0" fontId="110" fillId="0" borderId="23" xfId="0" applyFont="1" applyBorder="1" applyAlignment="1">
      <alignment wrapText="1"/>
    </xf>
    <xf numFmtId="3" fontId="110" fillId="0" borderId="23" xfId="0" applyNumberFormat="1" applyFont="1" applyBorder="1"/>
    <xf numFmtId="0" fontId="31" fillId="25" borderId="23" xfId="0" applyFont="1" applyFill="1" applyBorder="1" applyAlignment="1">
      <alignment wrapText="1"/>
    </xf>
    <xf numFmtId="3" fontId="31" fillId="25" borderId="23" xfId="0" applyNumberFormat="1" applyFont="1" applyFill="1" applyBorder="1" applyAlignment="1">
      <alignment vertical="center"/>
    </xf>
    <xf numFmtId="0" fontId="110" fillId="0" borderId="23" xfId="0" applyFont="1" applyBorder="1" applyAlignment="1">
      <alignment horizontal="left" wrapText="1"/>
    </xf>
    <xf numFmtId="1" fontId="58" fillId="0" borderId="64" xfId="0" applyNumberFormat="1" applyFont="1" applyBorder="1" applyAlignment="1">
      <alignment horizontal="center" vertical="center"/>
    </xf>
    <xf numFmtId="0" fontId="58" fillId="0" borderId="25" xfId="0" applyFont="1" applyBorder="1" applyAlignment="1">
      <alignment vertical="center" wrapText="1"/>
    </xf>
    <xf numFmtId="3" fontId="58" fillId="0" borderId="25" xfId="0" applyNumberFormat="1" applyFont="1" applyBorder="1" applyAlignment="1">
      <alignment vertical="center"/>
    </xf>
    <xf numFmtId="3" fontId="58" fillId="0" borderId="122" xfId="0" applyNumberFormat="1" applyFont="1" applyBorder="1" applyAlignment="1">
      <alignment vertical="center"/>
    </xf>
    <xf numFmtId="3" fontId="58" fillId="0" borderId="64" xfId="0" applyNumberFormat="1" applyFont="1" applyBorder="1" applyAlignment="1">
      <alignment vertical="center"/>
    </xf>
    <xf numFmtId="3" fontId="59" fillId="0" borderId="64" xfId="0" applyNumberFormat="1" applyFont="1" applyBorder="1" applyAlignment="1">
      <alignment vertical="center"/>
    </xf>
    <xf numFmtId="0" fontId="57" fillId="0" borderId="25" xfId="0" applyFont="1" applyBorder="1"/>
    <xf numFmtId="0" fontId="89" fillId="0" borderId="122" xfId="0" applyFont="1" applyBorder="1"/>
    <xf numFmtId="3" fontId="59" fillId="0" borderId="23" xfId="0" applyNumberFormat="1" applyFont="1" applyBorder="1" applyAlignment="1">
      <alignment vertical="center"/>
    </xf>
    <xf numFmtId="0" fontId="64" fillId="0" borderId="0" xfId="0" applyFont="1" applyBorder="1"/>
    <xf numFmtId="3" fontId="58" fillId="0" borderId="0" xfId="74" applyNumberFormat="1" applyFont="1" applyBorder="1"/>
    <xf numFmtId="3" fontId="96" fillId="0" borderId="0" xfId="0" applyNumberFormat="1" applyFont="1" applyBorder="1"/>
    <xf numFmtId="0" fontId="66" fillId="0" borderId="0" xfId="0" applyFont="1" applyBorder="1"/>
    <xf numFmtId="3" fontId="34" fillId="0" borderId="0" xfId="0" applyNumberFormat="1" applyFont="1" applyBorder="1"/>
    <xf numFmtId="0" fontId="34" fillId="0" borderId="0" xfId="0" applyFont="1" applyBorder="1"/>
    <xf numFmtId="3" fontId="63" fillId="0" borderId="0" xfId="74" applyNumberFormat="1" applyFont="1" applyBorder="1"/>
    <xf numFmtId="0" fontId="30" fillId="0" borderId="0" xfId="0" applyFont="1" applyBorder="1"/>
    <xf numFmtId="3" fontId="57" fillId="0" borderId="0" xfId="0" applyNumberFormat="1" applyFont="1" applyBorder="1" applyAlignment="1">
      <alignment wrapText="1"/>
    </xf>
    <xf numFmtId="3" fontId="92" fillId="0" borderId="0" xfId="0" applyNumberFormat="1" applyFont="1" applyBorder="1"/>
    <xf numFmtId="3" fontId="25" fillId="0" borderId="79" xfId="0" applyNumberFormat="1" applyFont="1" applyBorder="1"/>
    <xf numFmtId="3" fontId="57" fillId="0" borderId="64" xfId="74" applyNumberFormat="1" applyFont="1" applyBorder="1"/>
    <xf numFmtId="3" fontId="68" fillId="0" borderId="64" xfId="0" applyNumberFormat="1" applyFont="1" applyBorder="1"/>
    <xf numFmtId="3" fontId="38" fillId="0" borderId="64" xfId="0" applyNumberFormat="1" applyFont="1" applyBorder="1"/>
    <xf numFmtId="3" fontId="25" fillId="0" borderId="64" xfId="0" applyNumberFormat="1" applyFont="1" applyBorder="1"/>
    <xf numFmtId="3" fontId="28" fillId="0" borderId="64" xfId="0" applyNumberFormat="1" applyFont="1" applyBorder="1"/>
    <xf numFmtId="3" fontId="64" fillId="0" borderId="64" xfId="0" applyNumberFormat="1" applyFont="1" applyBorder="1" applyAlignment="1">
      <alignment wrapText="1"/>
    </xf>
    <xf numFmtId="0" fontId="28" fillId="0" borderId="46" xfId="0" applyFont="1" applyBorder="1" applyAlignment="1">
      <alignment horizontal="center"/>
    </xf>
    <xf numFmtId="3" fontId="25" fillId="0" borderId="26" xfId="0" applyNumberFormat="1" applyFont="1" applyBorder="1"/>
    <xf numFmtId="3" fontId="25" fillId="0" borderId="69" xfId="0" applyNumberFormat="1" applyFont="1" applyBorder="1"/>
    <xf numFmtId="3" fontId="30" fillId="0" borderId="26" xfId="0" applyNumberFormat="1" applyFont="1" applyBorder="1"/>
    <xf numFmtId="0" fontId="25" fillId="0" borderId="23" xfId="0" applyFont="1" applyBorder="1" applyAlignment="1">
      <alignment horizontal="center" vertical="center" wrapText="1"/>
    </xf>
    <xf numFmtId="3" fontId="25" fillId="0" borderId="23" xfId="0" applyNumberFormat="1" applyFont="1" applyBorder="1" applyAlignment="1">
      <alignment horizontal="center" vertical="center" wrapText="1"/>
    </xf>
    <xf numFmtId="0" fontId="25" fillId="0" borderId="69" xfId="0" applyFont="1" applyBorder="1"/>
    <xf numFmtId="0" fontId="92" fillId="0" borderId="0" xfId="0" applyFont="1" applyBorder="1"/>
    <xf numFmtId="3" fontId="35" fillId="0" borderId="0" xfId="74" applyNumberFormat="1" applyFont="1" applyBorder="1"/>
    <xf numFmtId="3" fontId="140" fillId="0" borderId="0" xfId="0" applyNumberFormat="1" applyFont="1" applyBorder="1"/>
    <xf numFmtId="3" fontId="59" fillId="0" borderId="0" xfId="0" applyNumberFormat="1" applyFont="1" applyBorder="1"/>
    <xf numFmtId="3" fontId="39" fillId="0" borderId="0" xfId="74" applyNumberFormat="1" applyFont="1" applyBorder="1"/>
    <xf numFmtId="3" fontId="138" fillId="0" borderId="0" xfId="0" applyNumberFormat="1" applyFont="1" applyBorder="1"/>
    <xf numFmtId="3" fontId="58" fillId="0" borderId="0" xfId="0" applyNumberFormat="1" applyFont="1" applyBorder="1" applyAlignment="1">
      <alignment wrapText="1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82" fillId="0" borderId="0" xfId="0" applyNumberFormat="1" applyFont="1" applyBorder="1"/>
    <xf numFmtId="0" fontId="30" fillId="0" borderId="69" xfId="0" applyFont="1" applyBorder="1"/>
    <xf numFmtId="3" fontId="39" fillId="0" borderId="64" xfId="74" applyNumberFormat="1" applyFont="1" applyBorder="1"/>
    <xf numFmtId="3" fontId="58" fillId="0" borderId="64" xfId="0" applyNumberFormat="1" applyFont="1" applyBorder="1" applyAlignment="1">
      <alignment wrapText="1"/>
    </xf>
    <xf numFmtId="0" fontId="38" fillId="0" borderId="0" xfId="0" applyFont="1" applyBorder="1"/>
    <xf numFmtId="0" fontId="25" fillId="0" borderId="0" xfId="0" applyFont="1" applyBorder="1" applyAlignment="1">
      <alignment wrapText="1"/>
    </xf>
    <xf numFmtId="3" fontId="92" fillId="0" borderId="0" xfId="0" applyNumberFormat="1" applyFont="1" applyBorder="1" applyAlignment="1">
      <alignment wrapText="1"/>
    </xf>
    <xf numFmtId="0" fontId="28" fillId="0" borderId="31" xfId="0" applyFont="1" applyBorder="1"/>
    <xf numFmtId="3" fontId="138" fillId="0" borderId="64" xfId="0" applyNumberFormat="1" applyFont="1" applyBorder="1"/>
    <xf numFmtId="3" fontId="59" fillId="0" borderId="64" xfId="0" applyNumberFormat="1" applyFont="1" applyBorder="1" applyAlignment="1">
      <alignment wrapText="1"/>
    </xf>
    <xf numFmtId="3" fontId="64" fillId="0" borderId="67" xfId="0" applyNumberFormat="1" applyFont="1" applyBorder="1"/>
    <xf numFmtId="3" fontId="138" fillId="0" borderId="0" xfId="74" applyNumberFormat="1" applyFont="1" applyBorder="1"/>
    <xf numFmtId="3" fontId="138" fillId="0" borderId="64" xfId="74" applyNumberFormat="1" applyFont="1" applyBorder="1"/>
    <xf numFmtId="3" fontId="63" fillId="0" borderId="64" xfId="74" applyNumberFormat="1" applyFont="1" applyBorder="1"/>
    <xf numFmtId="0" fontId="69" fillId="0" borderId="0" xfId="0" applyFont="1" applyBorder="1" applyAlignment="1">
      <alignment horizontal="center"/>
    </xf>
    <xf numFmtId="3" fontId="34" fillId="0" borderId="0" xfId="0" applyNumberFormat="1" applyFont="1" applyBorder="1" applyAlignment="1">
      <alignment horizontal="right"/>
    </xf>
    <xf numFmtId="0" fontId="25" fillId="0" borderId="81" xfId="0" applyFont="1" applyBorder="1" applyAlignment="1">
      <alignment horizontal="right"/>
    </xf>
    <xf numFmtId="3" fontId="64" fillId="0" borderId="23" xfId="0" applyNumberFormat="1" applyFont="1" applyBorder="1" applyAlignment="1">
      <alignment horizontal="center" vertical="center"/>
    </xf>
    <xf numFmtId="0" fontId="64" fillId="0" borderId="23" xfId="0" applyFont="1" applyBorder="1" applyAlignment="1">
      <alignment horizontal="center" vertical="center"/>
    </xf>
    <xf numFmtId="0" fontId="28" fillId="0" borderId="2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3" fontId="59" fillId="0" borderId="11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3" fontId="59" fillId="0" borderId="23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0" fillId="0" borderId="0" xfId="0" applyFont="1" applyBorder="1" applyAlignment="1">
      <alignment horizontal="right"/>
    </xf>
    <xf numFmtId="0" fontId="35" fillId="0" borderId="11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6" fillId="0" borderId="85" xfId="0" applyNumberFormat="1" applyFont="1" applyBorder="1" applyAlignment="1">
      <alignment horizontal="center" vertical="center"/>
    </xf>
    <xf numFmtId="0" fontId="59" fillId="0" borderId="23" xfId="0" applyFont="1" applyBorder="1" applyAlignment="1">
      <alignment horizontal="center" vertical="center"/>
    </xf>
    <xf numFmtId="3" fontId="74" fillId="0" borderId="23" xfId="0" applyNumberFormat="1" applyFont="1" applyBorder="1" applyAlignment="1">
      <alignment horizontal="center" vertical="center"/>
    </xf>
    <xf numFmtId="0" fontId="25" fillId="0" borderId="0" xfId="0" applyFont="1" applyBorder="1" applyAlignment="1">
      <alignment horizontal="right"/>
    </xf>
    <xf numFmtId="0" fontId="27" fillId="0" borderId="0" xfId="75" applyFont="1" applyAlignment="1">
      <alignment horizontal="right"/>
    </xf>
    <xf numFmtId="3" fontId="110" fillId="0" borderId="31" xfId="71" applyNumberFormat="1" applyFont="1" applyBorder="1" applyAlignment="1">
      <alignment horizontal="right" vertical="center"/>
    </xf>
    <xf numFmtId="3" fontId="110" fillId="0" borderId="56" xfId="71" applyNumberFormat="1" applyFont="1" applyBorder="1" applyAlignment="1">
      <alignment horizontal="right" vertical="center"/>
    </xf>
    <xf numFmtId="0" fontId="75" fillId="0" borderId="86" xfId="71" applyFont="1" applyFill="1" applyBorder="1" applyAlignment="1">
      <alignment horizontal="center" vertical="center"/>
    </xf>
    <xf numFmtId="0" fontId="75" fillId="0" borderId="87" xfId="7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/>
    </xf>
    <xf numFmtId="3" fontId="75" fillId="0" borderId="26" xfId="71" applyNumberFormat="1" applyFont="1" applyFill="1" applyBorder="1" applyAlignment="1">
      <alignment horizontal="center" vertical="center"/>
    </xf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26" xfId="71" applyNumberFormat="1" applyFont="1" applyFill="1" applyBorder="1" applyAlignment="1">
      <alignment horizontal="center" vertical="center" wrapText="1"/>
    </xf>
    <xf numFmtId="3" fontId="75" fillId="0" borderId="77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/>
    </xf>
    <xf numFmtId="0" fontId="81" fillId="0" borderId="23" xfId="0" applyFont="1" applyBorder="1" applyAlignment="1"/>
    <xf numFmtId="0" fontId="24" fillId="0" borderId="11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3" xfId="0" applyFont="1" applyBorder="1" applyAlignment="1">
      <alignment horizontal="right"/>
    </xf>
    <xf numFmtId="0" fontId="0" fillId="0" borderId="13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11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3" xfId="0" applyFont="1" applyBorder="1" applyAlignment="1">
      <alignment horizontal="right"/>
    </xf>
    <xf numFmtId="0" fontId="67" fillId="0" borderId="13" xfId="0" applyFont="1" applyBorder="1" applyAlignment="1">
      <alignment horizontal="right"/>
    </xf>
    <xf numFmtId="0" fontId="28" fillId="0" borderId="11" xfId="0" applyFont="1" applyBorder="1" applyAlignment="1">
      <alignment horizontal="center" vertical="center" wrapText="1"/>
    </xf>
    <xf numFmtId="0" fontId="28" fillId="0" borderId="48" xfId="0" applyFont="1" applyBorder="1" applyAlignment="1">
      <alignment horizontal="center" vertical="center" wrapText="1"/>
    </xf>
    <xf numFmtId="3" fontId="150" fillId="0" borderId="31" xfId="71" applyNumberFormat="1" applyFont="1" applyBorder="1" applyAlignment="1">
      <alignment horizontal="right" vertical="center"/>
    </xf>
    <xf numFmtId="3" fontId="150" fillId="0" borderId="56" xfId="71" applyNumberFormat="1" applyFont="1" applyBorder="1" applyAlignment="1">
      <alignment horizontal="right" vertical="center"/>
    </xf>
    <xf numFmtId="0" fontId="25" fillId="0" borderId="0" xfId="76" applyFont="1" applyBorder="1" applyAlignment="1">
      <alignment horizontal="center"/>
    </xf>
    <xf numFmtId="0" fontId="34" fillId="0" borderId="23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3" fontId="29" fillId="0" borderId="81" xfId="0" applyNumberFormat="1" applyFont="1" applyBorder="1" applyAlignment="1">
      <alignment horizontal="right"/>
    </xf>
    <xf numFmtId="0" fontId="0" fillId="0" borderId="81" xfId="0" applyBorder="1" applyAlignment="1"/>
    <xf numFmtId="0" fontId="29" fillId="0" borderId="23" xfId="0" applyFont="1" applyBorder="1" applyAlignment="1">
      <alignment horizontal="center" vertical="center" wrapText="1"/>
    </xf>
    <xf numFmtId="0" fontId="110" fillId="0" borderId="23" xfId="0" applyFont="1" applyBorder="1" applyAlignment="1">
      <alignment horizontal="center" vertical="center" wrapText="1"/>
    </xf>
    <xf numFmtId="3" fontId="110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58" xfId="78" applyNumberFormat="1" applyFont="1" applyBorder="1" applyAlignment="1">
      <alignment horizontal="right"/>
    </xf>
    <xf numFmtId="0" fontId="0" fillId="0" borderId="0" xfId="0" applyBorder="1" applyAlignment="1"/>
    <xf numFmtId="49" fontId="25" fillId="0" borderId="89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34" xfId="78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0" xfId="78" applyNumberFormat="1" applyFont="1" applyBorder="1" applyAlignment="1">
      <alignment horizontal="center" vertical="center"/>
    </xf>
    <xf numFmtId="3" fontId="25" fillId="0" borderId="13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3" fontId="25" fillId="0" borderId="118" xfId="0" applyNumberFormat="1" applyFont="1" applyBorder="1" applyAlignment="1">
      <alignment horizontal="center" vertical="center" wrapText="1"/>
    </xf>
    <xf numFmtId="3" fontId="25" fillId="0" borderId="53" xfId="0" applyNumberFormat="1" applyFont="1" applyBorder="1" applyAlignment="1">
      <alignment horizontal="center" vertical="center" wrapText="1"/>
    </xf>
    <xf numFmtId="3" fontId="25" fillId="0" borderId="54" xfId="0" applyNumberFormat="1" applyFont="1" applyBorder="1" applyAlignment="1">
      <alignment horizontal="center" vertical="center" wrapText="1"/>
    </xf>
    <xf numFmtId="3" fontId="25" fillId="0" borderId="46" xfId="78" applyNumberFormat="1" applyFont="1" applyBorder="1" applyAlignment="1">
      <alignment horizontal="center" vertical="center"/>
    </xf>
    <xf numFmtId="3" fontId="25" fillId="0" borderId="26" xfId="78" applyNumberFormat="1" applyFont="1" applyBorder="1" applyAlignment="1">
      <alignment horizontal="center" vertical="center"/>
    </xf>
    <xf numFmtId="3" fontId="25" fillId="0" borderId="77" xfId="78" applyNumberFormat="1" applyFont="1" applyBorder="1" applyAlignment="1">
      <alignment horizontal="center" vertical="center"/>
    </xf>
    <xf numFmtId="3" fontId="25" fillId="0" borderId="40" xfId="0" applyNumberFormat="1" applyFont="1" applyBorder="1" applyAlignment="1">
      <alignment horizontal="center" vertical="center" wrapText="1"/>
    </xf>
    <xf numFmtId="3" fontId="25" fillId="0" borderId="14" xfId="0" applyNumberFormat="1" applyFont="1" applyBorder="1" applyAlignment="1">
      <alignment horizontal="center" vertical="center" wrapText="1"/>
    </xf>
    <xf numFmtId="3" fontId="25" fillId="0" borderId="124" xfId="0" applyNumberFormat="1" applyFont="1" applyBorder="1" applyAlignment="1">
      <alignment horizontal="center" vertical="center" wrapText="1"/>
    </xf>
    <xf numFmtId="3" fontId="25" fillId="0" borderId="125" xfId="0" applyNumberFormat="1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81" xfId="0" applyFont="1" applyBorder="1" applyAlignment="1">
      <alignment horizontal="right"/>
    </xf>
    <xf numFmtId="0" fontId="0" fillId="0" borderId="81" xfId="0" applyBorder="1" applyAlignment="1">
      <alignment horizontal="right"/>
    </xf>
    <xf numFmtId="3" fontId="48" fillId="0" borderId="23" xfId="0" applyNumberFormat="1" applyFont="1" applyBorder="1" applyAlignment="1">
      <alignment horizontal="center" vertical="center" wrapText="1"/>
    </xf>
    <xf numFmtId="3" fontId="44" fillId="0" borderId="23" xfId="0" applyNumberFormat="1" applyFont="1" applyBorder="1" applyAlignment="1">
      <alignment horizontal="center"/>
    </xf>
    <xf numFmtId="0" fontId="47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42" xfId="0" applyFont="1" applyBorder="1" applyAlignment="1">
      <alignment horizontal="center" vertical="center"/>
    </xf>
    <xf numFmtId="0" fontId="64" fillId="0" borderId="84" xfId="0" applyFont="1" applyBorder="1" applyAlignment="1">
      <alignment horizontal="center" vertical="center"/>
    </xf>
    <xf numFmtId="0" fontId="64" fillId="0" borderId="88" xfId="0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64" fillId="0" borderId="11" xfId="0" applyNumberFormat="1" applyFont="1" applyBorder="1" applyAlignment="1">
      <alignment horizontal="center" vertical="center" wrapText="1"/>
    </xf>
    <xf numFmtId="3" fontId="64" fillId="0" borderId="40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 wrapText="1"/>
    </xf>
    <xf numFmtId="3" fontId="64" fillId="0" borderId="90" xfId="0" applyNumberFormat="1" applyFont="1" applyBorder="1" applyAlignment="1">
      <alignment horizontal="center" vertical="center" wrapText="1"/>
    </xf>
    <xf numFmtId="3" fontId="64" fillId="0" borderId="91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5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58" xfId="0" applyNumberFormat="1" applyFont="1" applyBorder="1" applyAlignment="1">
      <alignment horizontal="right"/>
    </xf>
    <xf numFmtId="3" fontId="64" fillId="0" borderId="92" xfId="0" applyNumberFormat="1" applyFont="1" applyBorder="1" applyAlignment="1">
      <alignment horizontal="center" vertical="center" wrapText="1"/>
    </xf>
    <xf numFmtId="0" fontId="64" fillId="0" borderId="106" xfId="0" applyFont="1" applyBorder="1" applyAlignment="1">
      <alignment horizontal="center" vertical="center" readingOrder="2"/>
    </xf>
    <xf numFmtId="3" fontId="64" fillId="0" borderId="28" xfId="0" applyNumberFormat="1" applyFont="1" applyBorder="1" applyAlignment="1">
      <alignment horizontal="center" vertical="center"/>
    </xf>
    <xf numFmtId="0" fontId="78" fillId="0" borderId="10" xfId="0" applyFont="1" applyBorder="1" applyAlignment="1">
      <alignment horizontal="center" vertical="center"/>
    </xf>
    <xf numFmtId="0" fontId="78" fillId="0" borderId="104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 textRotation="255"/>
    </xf>
    <xf numFmtId="3" fontId="64" fillId="0" borderId="16" xfId="0" applyNumberFormat="1" applyFont="1" applyBorder="1" applyAlignment="1">
      <alignment horizontal="center" vertical="center"/>
    </xf>
    <xf numFmtId="3" fontId="64" fillId="0" borderId="103" xfId="0" applyNumberFormat="1" applyFont="1" applyBorder="1" applyAlignment="1">
      <alignment horizontal="center" vertical="center"/>
    </xf>
    <xf numFmtId="3" fontId="64" fillId="0" borderId="101" xfId="0" applyNumberFormat="1" applyFont="1" applyBorder="1" applyAlignment="1">
      <alignment horizontal="center" vertical="center"/>
    </xf>
    <xf numFmtId="3" fontId="64" fillId="0" borderId="102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04" xfId="0" applyNumberFormat="1" applyFont="1" applyBorder="1" applyAlignment="1">
      <alignment horizontal="center" vertical="center"/>
    </xf>
    <xf numFmtId="0" fontId="78" fillId="0" borderId="105" xfId="0" applyFont="1" applyBorder="1" applyAlignment="1">
      <alignment horizontal="center" vertical="center"/>
    </xf>
    <xf numFmtId="3" fontId="64" fillId="0" borderId="100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58" xfId="0" applyBorder="1" applyAlignment="1"/>
    <xf numFmtId="0" fontId="64" fillId="0" borderId="46" xfId="0" applyFont="1" applyFill="1" applyBorder="1" applyAlignment="1"/>
    <xf numFmtId="0" fontId="78" fillId="0" borderId="77" xfId="0" applyFont="1" applyBorder="1" applyAlignment="1"/>
    <xf numFmtId="0" fontId="64" fillId="0" borderId="99" xfId="0" applyFont="1" applyBorder="1" applyAlignment="1">
      <alignment horizontal="center" vertical="center"/>
    </xf>
    <xf numFmtId="0" fontId="64" fillId="0" borderId="25" xfId="0" applyFont="1" applyBorder="1" applyAlignment="1">
      <alignment horizontal="center" vertical="center"/>
    </xf>
    <xf numFmtId="0" fontId="64" fillId="0" borderId="39" xfId="0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 wrapText="1"/>
    </xf>
    <xf numFmtId="3" fontId="57" fillId="0" borderId="92" xfId="0" applyNumberFormat="1" applyFont="1" applyBorder="1" applyAlignment="1">
      <alignment horizontal="center" vertical="center" wrapText="1"/>
    </xf>
    <xf numFmtId="3" fontId="57" fillId="0" borderId="93" xfId="0" applyNumberFormat="1" applyFont="1" applyBorder="1" applyAlignment="1">
      <alignment horizontal="center" vertical="center" wrapText="1"/>
    </xf>
    <xf numFmtId="0" fontId="57" fillId="0" borderId="94" xfId="0" applyFont="1" applyBorder="1" applyAlignment="1">
      <alignment horizontal="center" vertical="center" textRotation="255"/>
    </xf>
    <xf numFmtId="0" fontId="57" fillId="0" borderId="95" xfId="0" applyFont="1" applyBorder="1" applyAlignment="1">
      <alignment horizontal="center" vertical="center" textRotation="255"/>
    </xf>
    <xf numFmtId="0" fontId="0" fillId="0" borderId="96" xfId="0" applyBorder="1" applyAlignment="1"/>
    <xf numFmtId="3" fontId="64" fillId="0" borderId="97" xfId="0" applyNumberFormat="1" applyFont="1" applyBorder="1" applyAlignment="1">
      <alignment horizontal="center" vertical="center" wrapText="1"/>
    </xf>
    <xf numFmtId="3" fontId="64" fillId="0" borderId="98" xfId="0" applyNumberFormat="1" applyFont="1" applyBorder="1" applyAlignment="1">
      <alignment horizontal="center" vertical="center" wrapText="1"/>
    </xf>
    <xf numFmtId="3" fontId="64" fillId="0" borderId="101" xfId="0" applyNumberFormat="1" applyFont="1" applyBorder="1" applyAlignment="1">
      <alignment horizontal="center"/>
    </xf>
    <xf numFmtId="3" fontId="64" fillId="0" borderId="113" xfId="0" applyNumberFormat="1" applyFont="1" applyBorder="1" applyAlignment="1">
      <alignment horizontal="center"/>
    </xf>
    <xf numFmtId="3" fontId="89" fillId="0" borderId="102" xfId="0" applyNumberFormat="1" applyFont="1" applyBorder="1" applyAlignment="1">
      <alignment horizontal="center"/>
    </xf>
    <xf numFmtId="3" fontId="69" fillId="0" borderId="99" xfId="0" applyNumberFormat="1" applyFont="1" applyBorder="1" applyAlignment="1">
      <alignment horizontal="center" vertical="center" wrapText="1"/>
    </xf>
    <xf numFmtId="3" fontId="69" fillId="0" borderId="25" xfId="0" applyNumberFormat="1" applyFont="1" applyBorder="1" applyAlignment="1">
      <alignment horizontal="center" vertical="center" wrapText="1"/>
    </xf>
    <xf numFmtId="3" fontId="69" fillId="0" borderId="45" xfId="0" applyNumberFormat="1" applyFont="1" applyBorder="1" applyAlignment="1">
      <alignment horizontal="center" vertical="center" wrapText="1"/>
    </xf>
    <xf numFmtId="3" fontId="69" fillId="0" borderId="55" xfId="0" applyNumberFormat="1" applyFont="1" applyBorder="1" applyAlignment="1">
      <alignment horizontal="center" vertical="center" wrapText="1"/>
    </xf>
    <xf numFmtId="3" fontId="90" fillId="0" borderId="0" xfId="0" applyNumberFormat="1" applyFont="1" applyBorder="1" applyAlignment="1">
      <alignment horizontal="center" vertical="center" wrapText="1"/>
    </xf>
    <xf numFmtId="3" fontId="90" fillId="0" borderId="55" xfId="0" applyNumberFormat="1" applyFont="1" applyBorder="1" applyAlignment="1">
      <alignment horizontal="center" vertical="center" wrapText="1"/>
    </xf>
    <xf numFmtId="3" fontId="90" fillId="0" borderId="10" xfId="0" applyNumberFormat="1" applyFont="1" applyBorder="1" applyAlignment="1">
      <alignment horizontal="center" vertical="center" wrapText="1"/>
    </xf>
    <xf numFmtId="3" fontId="90" fillId="0" borderId="27" xfId="0" applyNumberFormat="1" applyFont="1" applyBorder="1" applyAlignment="1">
      <alignment horizontal="center" vertical="center" wrapText="1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05" xfId="0" applyNumberFormat="1" applyFont="1" applyBorder="1" applyAlignment="1">
      <alignment horizontal="center" vertical="center" wrapText="1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4" xfId="0" applyFont="1" applyBorder="1" applyAlignment="1">
      <alignment horizontal="center" vertical="center" textRotation="255"/>
    </xf>
    <xf numFmtId="0" fontId="89" fillId="0" borderId="25" xfId="0" applyFont="1" applyBorder="1" applyAlignment="1">
      <alignment horizontal="center" vertical="center" textRotation="255"/>
    </xf>
    <xf numFmtId="3" fontId="90" fillId="0" borderId="112" xfId="0" applyNumberFormat="1" applyFont="1" applyBorder="1" applyAlignment="1">
      <alignment horizontal="center"/>
    </xf>
    <xf numFmtId="3" fontId="90" fillId="0" borderId="113" xfId="0" applyNumberFormat="1" applyFont="1" applyBorder="1" applyAlignment="1">
      <alignment horizontal="center"/>
    </xf>
    <xf numFmtId="3" fontId="64" fillId="0" borderId="0" xfId="0" applyNumberFormat="1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1" xfId="0" applyBorder="1" applyAlignment="1">
      <alignment horizontal="center" vertical="center" wrapText="1"/>
    </xf>
    <xf numFmtId="3" fontId="90" fillId="0" borderId="101" xfId="0" applyNumberFormat="1" applyFont="1" applyBorder="1" applyAlignment="1">
      <alignment horizontal="center"/>
    </xf>
    <xf numFmtId="3" fontId="90" fillId="0" borderId="64" xfId="0" applyNumberFormat="1" applyFont="1" applyBorder="1" applyAlignment="1">
      <alignment horizontal="center" vertical="center" wrapText="1"/>
    </xf>
    <xf numFmtId="0" fontId="88" fillId="0" borderId="64" xfId="0" applyFont="1" applyBorder="1" applyAlignment="1">
      <alignment horizontal="center" vertical="center" wrapText="1"/>
    </xf>
    <xf numFmtId="0" fontId="90" fillId="0" borderId="81" xfId="0" applyFont="1" applyBorder="1" applyAlignment="1">
      <alignment horizontal="right"/>
    </xf>
    <xf numFmtId="0" fontId="90" fillId="0" borderId="0" xfId="0" applyFont="1" applyBorder="1" applyAlignment="1">
      <alignment horizontal="right"/>
    </xf>
    <xf numFmtId="3" fontId="64" fillId="0" borderId="128" xfId="0" applyNumberFormat="1" applyFont="1" applyBorder="1" applyAlignment="1">
      <alignment horizontal="center"/>
    </xf>
    <xf numFmtId="3" fontId="64" fillId="0" borderId="129" xfId="0" applyNumberFormat="1" applyFont="1" applyBorder="1" applyAlignment="1">
      <alignment horizontal="center"/>
    </xf>
    <xf numFmtId="0" fontId="88" fillId="0" borderId="129" xfId="0" applyFont="1" applyBorder="1" applyAlignment="1">
      <alignment horizontal="center"/>
    </xf>
    <xf numFmtId="0" fontId="88" fillId="0" borderId="130" xfId="0" applyFont="1" applyBorder="1" applyAlignment="1">
      <alignment horizontal="center"/>
    </xf>
    <xf numFmtId="0" fontId="90" fillId="0" borderId="79" xfId="0" applyFont="1" applyBorder="1" applyAlignment="1">
      <alignment horizontal="center" vertical="center" wrapText="1"/>
    </xf>
    <xf numFmtId="0" fontId="90" fillId="0" borderId="64" xfId="0" applyFont="1" applyBorder="1" applyAlignment="1">
      <alignment horizontal="center" vertical="center" wrapText="1"/>
    </xf>
    <xf numFmtId="0" fontId="59" fillId="0" borderId="108" xfId="0" applyFont="1" applyBorder="1" applyAlignment="1">
      <alignment horizontal="left"/>
    </xf>
    <xf numFmtId="0" fontId="59" fillId="0" borderId="31" xfId="0" applyFont="1" applyBorder="1" applyAlignment="1">
      <alignment horizontal="left"/>
    </xf>
    <xf numFmtId="3" fontId="90" fillId="0" borderId="127" xfId="0" applyNumberFormat="1" applyFont="1" applyBorder="1" applyAlignment="1">
      <alignment horizontal="center" vertical="center" wrapText="1"/>
    </xf>
    <xf numFmtId="3" fontId="90" fillId="0" borderId="13" xfId="0" applyNumberFormat="1" applyFont="1" applyBorder="1" applyAlignment="1">
      <alignment horizontal="center" vertical="center" wrapText="1"/>
    </xf>
    <xf numFmtId="3" fontId="90" fillId="0" borderId="131" xfId="0" applyNumberFormat="1" applyFont="1" applyBorder="1" applyAlignment="1">
      <alignment horizontal="center" vertical="center" wrapText="1"/>
    </xf>
    <xf numFmtId="3" fontId="90" fillId="0" borderId="85" xfId="0" applyNumberFormat="1" applyFont="1" applyBorder="1" applyAlignment="1">
      <alignment horizontal="center" vertical="center" wrapText="1"/>
    </xf>
    <xf numFmtId="0" fontId="44" fillId="0" borderId="14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48" xfId="0" applyFont="1" applyBorder="1" applyAlignment="1">
      <alignment horizontal="center" textRotation="255"/>
    </xf>
    <xf numFmtId="0" fontId="43" fillId="0" borderId="22" xfId="0" applyFont="1" applyBorder="1" applyAlignment="1">
      <alignment horizontal="center" textRotation="255"/>
    </xf>
    <xf numFmtId="0" fontId="44" fillId="0" borderId="11" xfId="0" applyFont="1" applyBorder="1" applyAlignment="1">
      <alignment horizontal="center"/>
    </xf>
    <xf numFmtId="0" fontId="24" fillId="0" borderId="11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4" fillId="0" borderId="48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48" xfId="0" applyFont="1" applyBorder="1" applyAlignment="1">
      <alignment horizontal="center" textRotation="255"/>
    </xf>
    <xf numFmtId="0" fontId="22" fillId="0" borderId="22" xfId="0" applyFont="1" applyBorder="1" applyAlignment="1">
      <alignment horizontal="center" textRotation="255"/>
    </xf>
    <xf numFmtId="0" fontId="22" fillId="0" borderId="36" xfId="0" applyFont="1" applyBorder="1" applyAlignment="1">
      <alignment horizontal="center" textRotation="255"/>
    </xf>
    <xf numFmtId="0" fontId="24" fillId="0" borderId="11" xfId="0" applyFont="1" applyBorder="1" applyAlignment="1">
      <alignment horizontal="center"/>
    </xf>
    <xf numFmtId="0" fontId="24" fillId="0" borderId="23" xfId="0" applyFont="1" applyBorder="1" applyAlignment="1">
      <alignment horizontal="left"/>
    </xf>
    <xf numFmtId="3" fontId="25" fillId="0" borderId="48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8" fillId="0" borderId="22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3" fontId="74" fillId="0" borderId="52" xfId="0" applyNumberFormat="1" applyFont="1" applyBorder="1" applyAlignment="1">
      <alignment horizontal="center" vertical="center"/>
    </xf>
    <xf numFmtId="3" fontId="74" fillId="0" borderId="91" xfId="0" applyNumberFormat="1" applyFont="1" applyBorder="1" applyAlignment="1">
      <alignment horizontal="center" vertical="center"/>
    </xf>
    <xf numFmtId="3" fontId="64" fillId="0" borderId="27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7" xfId="0" applyNumberFormat="1" applyFont="1" applyBorder="1" applyAlignment="1">
      <alignment horizontal="center" vertical="center"/>
    </xf>
    <xf numFmtId="0" fontId="59" fillId="0" borderId="28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3" fillId="0" borderId="11" xfId="0" applyFont="1" applyBorder="1" applyAlignment="1">
      <alignment horizontal="center" textRotation="255"/>
    </xf>
    <xf numFmtId="0" fontId="48" fillId="0" borderId="11" xfId="0" applyFont="1" applyBorder="1" applyAlignment="1">
      <alignment horizontal="center"/>
    </xf>
    <xf numFmtId="0" fontId="48" fillId="0" borderId="27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29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0" fontId="56" fillId="0" borderId="11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3" xfId="72" applyFont="1" applyBorder="1" applyAlignment="1">
      <alignment horizontal="center"/>
    </xf>
    <xf numFmtId="0" fontId="48" fillId="0" borderId="88" xfId="72" applyFont="1" applyBorder="1" applyAlignment="1">
      <alignment horizontal="center" wrapText="1"/>
    </xf>
    <xf numFmtId="0" fontId="48" fillId="0" borderId="23" xfId="72" applyFont="1" applyBorder="1" applyAlignment="1">
      <alignment horizontal="center" vertical="center"/>
    </xf>
    <xf numFmtId="0" fontId="48" fillId="0" borderId="23" xfId="72" applyFont="1" applyBorder="1" applyAlignment="1">
      <alignment horizontal="center"/>
    </xf>
    <xf numFmtId="0" fontId="48" fillId="0" borderId="81" xfId="72" applyFont="1" applyBorder="1" applyAlignment="1">
      <alignment horizontal="center"/>
    </xf>
    <xf numFmtId="0" fontId="48" fillId="0" borderId="82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3" xfId="72" applyFont="1" applyBorder="1" applyAlignment="1">
      <alignment horizontal="center"/>
    </xf>
    <xf numFmtId="0" fontId="100" fillId="0" borderId="88" xfId="72" applyFont="1" applyBorder="1" applyAlignment="1">
      <alignment horizontal="center" wrapText="1"/>
    </xf>
    <xf numFmtId="0" fontId="100" fillId="0" borderId="23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2" xfId="72" applyFont="1" applyBorder="1" applyAlignment="1">
      <alignment horizontal="center"/>
    </xf>
    <xf numFmtId="0" fontId="100" fillId="0" borderId="84" xfId="72" applyFont="1" applyBorder="1" applyAlignment="1">
      <alignment horizontal="center"/>
    </xf>
    <xf numFmtId="0" fontId="100" fillId="0" borderId="88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3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3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3" xfId="77" applyFont="1" applyBorder="1" applyAlignment="1">
      <alignment horizontal="center"/>
    </xf>
    <xf numFmtId="0" fontId="53" fillId="0" borderId="24" xfId="77" applyFont="1" applyBorder="1" applyAlignment="1">
      <alignment horizontal="center" vertical="center"/>
    </xf>
    <xf numFmtId="0" fontId="53" fillId="0" borderId="45" xfId="77" applyFont="1" applyBorder="1" applyAlignment="1">
      <alignment horizontal="center" vertical="center"/>
    </xf>
    <xf numFmtId="0" fontId="53" fillId="0" borderId="24" xfId="77" applyFont="1" applyBorder="1" applyAlignment="1">
      <alignment horizontal="center" vertical="center" wrapText="1"/>
    </xf>
    <xf numFmtId="0" fontId="53" fillId="0" borderId="45" xfId="77" applyFont="1" applyBorder="1" applyAlignment="1">
      <alignment horizontal="center" vertical="center" wrapText="1"/>
    </xf>
    <xf numFmtId="0" fontId="53" fillId="0" borderId="41" xfId="77" applyFont="1" applyBorder="1" applyAlignment="1">
      <alignment horizontal="center" vertical="center"/>
    </xf>
    <xf numFmtId="0" fontId="53" fillId="0" borderId="80" xfId="77" applyFont="1" applyBorder="1" applyAlignment="1">
      <alignment horizontal="center" vertical="center"/>
    </xf>
    <xf numFmtId="0" fontId="53" fillId="0" borderId="81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55"/>
  <sheetViews>
    <sheetView tabSelected="1" zoomScale="120" workbookViewId="0">
      <selection activeCell="A3" sqref="A3:V3"/>
    </sheetView>
  </sheetViews>
  <sheetFormatPr defaultColWidth="9.140625" defaultRowHeight="11.25" x14ac:dyDescent="0.2"/>
  <cols>
    <col min="1" max="1" width="3.85546875" style="127" customWidth="1"/>
    <col min="2" max="2" width="36.28515625" style="127" customWidth="1"/>
    <col min="3" max="3" width="13.28515625" style="128" customWidth="1"/>
    <col min="4" max="4" width="11.140625" style="128" customWidth="1"/>
    <col min="5" max="5" width="13.42578125" style="128" customWidth="1"/>
    <col min="6" max="7" width="10.85546875" style="128" customWidth="1"/>
    <col min="8" max="8" width="10.7109375" style="128" customWidth="1"/>
    <col min="9" max="10" width="10.85546875" style="128" customWidth="1"/>
    <col min="11" max="11" width="36.85546875" style="128" customWidth="1"/>
    <col min="12" max="13" width="12" style="128" customWidth="1"/>
    <col min="14" max="14" width="14" style="128" customWidth="1"/>
    <col min="15" max="17" width="0" style="127" hidden="1" customWidth="1"/>
    <col min="18" max="22" width="10.85546875" style="127" customWidth="1"/>
    <col min="23" max="27" width="9.140625" style="127"/>
    <col min="28" max="16384" width="9.140625" style="8"/>
  </cols>
  <sheetData>
    <row r="1" spans="1:27" ht="12.75" customHeight="1" x14ac:dyDescent="0.2">
      <c r="A1" s="1301" t="s">
        <v>1268</v>
      </c>
      <c r="B1" s="1301"/>
      <c r="C1" s="1301"/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1301"/>
      <c r="P1" s="1301"/>
      <c r="Q1" s="1301"/>
      <c r="R1" s="1301"/>
      <c r="S1" s="1301"/>
      <c r="T1" s="1301"/>
      <c r="U1" s="1301"/>
      <c r="V1" s="1301"/>
    </row>
    <row r="2" spans="1:27" ht="20.25" x14ac:dyDescent="0.3">
      <c r="B2" s="659"/>
      <c r="N2" s="129"/>
    </row>
    <row r="3" spans="1:27" s="100" customFormat="1" ht="12.75" customHeight="1" x14ac:dyDescent="0.2">
      <c r="A3" s="1308" t="s">
        <v>54</v>
      </c>
      <c r="B3" s="1308"/>
      <c r="C3" s="1308"/>
      <c r="D3" s="1308"/>
      <c r="E3" s="1308"/>
      <c r="F3" s="1308"/>
      <c r="G3" s="1308"/>
      <c r="H3" s="1308"/>
      <c r="I3" s="1308"/>
      <c r="J3" s="1308"/>
      <c r="K3" s="1308"/>
      <c r="L3" s="1308"/>
      <c r="M3" s="1308"/>
      <c r="N3" s="1308"/>
      <c r="O3" s="1308"/>
      <c r="P3" s="1308"/>
      <c r="Q3" s="1308"/>
      <c r="R3" s="1308"/>
      <c r="S3" s="1308"/>
      <c r="T3" s="1308"/>
      <c r="U3" s="1308"/>
      <c r="V3" s="1308"/>
      <c r="W3" s="130"/>
      <c r="X3" s="130"/>
      <c r="Y3" s="130"/>
      <c r="Z3" s="130"/>
      <c r="AA3" s="130"/>
    </row>
    <row r="4" spans="1:27" s="100" customFormat="1" ht="12.75" customHeight="1" x14ac:dyDescent="0.2">
      <c r="A4" s="1300" t="s">
        <v>1123</v>
      </c>
      <c r="B4" s="1300"/>
      <c r="C4" s="1300"/>
      <c r="D4" s="1300"/>
      <c r="E4" s="1300"/>
      <c r="F4" s="1300"/>
      <c r="G4" s="1300"/>
      <c r="H4" s="1300"/>
      <c r="I4" s="1300"/>
      <c r="J4" s="1300"/>
      <c r="K4" s="1300"/>
      <c r="L4" s="1300"/>
      <c r="M4" s="1300"/>
      <c r="N4" s="1300"/>
      <c r="O4" s="1300"/>
      <c r="P4" s="1300"/>
      <c r="Q4" s="1300"/>
      <c r="R4" s="1300"/>
      <c r="S4" s="1300"/>
      <c r="T4" s="1300"/>
      <c r="U4" s="1300"/>
      <c r="V4" s="1300"/>
      <c r="W4" s="130"/>
      <c r="X4" s="130"/>
      <c r="Y4" s="130"/>
      <c r="Z4" s="130"/>
      <c r="AA4" s="130"/>
    </row>
    <row r="5" spans="1:27" s="100" customFormat="1" ht="12.75" customHeight="1" x14ac:dyDescent="0.2">
      <c r="A5" s="1302" t="s">
        <v>326</v>
      </c>
      <c r="B5" s="1302"/>
      <c r="C5" s="1302"/>
      <c r="D5" s="1302"/>
      <c r="E5" s="1302"/>
      <c r="F5" s="1302"/>
      <c r="G5" s="1302"/>
      <c r="H5" s="1302"/>
      <c r="I5" s="1302"/>
      <c r="J5" s="1302"/>
      <c r="K5" s="1302"/>
      <c r="L5" s="1302"/>
      <c r="M5" s="1302"/>
      <c r="N5" s="1302"/>
      <c r="O5" s="1302"/>
      <c r="P5" s="1302"/>
      <c r="Q5" s="1302"/>
      <c r="R5" s="1302"/>
      <c r="S5" s="1302"/>
      <c r="T5" s="1302"/>
      <c r="U5" s="1302"/>
      <c r="V5" s="1302"/>
      <c r="W5" s="130"/>
      <c r="X5" s="130"/>
      <c r="Y5" s="130"/>
      <c r="Z5" s="130"/>
      <c r="AA5" s="130"/>
    </row>
    <row r="6" spans="1:27" s="100" customFormat="1" ht="12.75" customHeight="1" x14ac:dyDescent="0.2">
      <c r="A6" s="1305" t="s">
        <v>56</v>
      </c>
      <c r="B6" s="1306" t="s">
        <v>57</v>
      </c>
      <c r="C6" s="1307" t="s">
        <v>58</v>
      </c>
      <c r="D6" s="1307"/>
      <c r="E6" s="1307"/>
      <c r="F6" s="1307"/>
      <c r="G6" s="1307"/>
      <c r="H6" s="1307"/>
      <c r="I6" s="1307"/>
      <c r="J6" s="1307"/>
      <c r="K6" s="1307" t="s">
        <v>59</v>
      </c>
      <c r="L6" s="1304" t="s">
        <v>60</v>
      </c>
      <c r="M6" s="1304"/>
      <c r="N6" s="1304"/>
      <c r="O6" s="1304"/>
      <c r="P6" s="1304"/>
      <c r="Q6" s="1304"/>
      <c r="R6" s="1304"/>
      <c r="S6" s="1304"/>
      <c r="T6" s="1304"/>
      <c r="U6" s="1304"/>
      <c r="V6" s="1304"/>
    </row>
    <row r="7" spans="1:27" s="100" customFormat="1" ht="12.75" customHeight="1" x14ac:dyDescent="0.2">
      <c r="A7" s="1305"/>
      <c r="B7" s="1306"/>
      <c r="C7" s="1303" t="s">
        <v>1125</v>
      </c>
      <c r="D7" s="1303"/>
      <c r="E7" s="1303"/>
      <c r="F7" s="1303" t="s">
        <v>1267</v>
      </c>
      <c r="G7" s="1303"/>
      <c r="H7" s="1303" t="s">
        <v>1266</v>
      </c>
      <c r="I7" s="1303"/>
      <c r="J7" s="1303"/>
      <c r="K7" s="1307"/>
      <c r="L7" s="1303" t="s">
        <v>1125</v>
      </c>
      <c r="M7" s="1303"/>
      <c r="N7" s="1303"/>
      <c r="O7" s="754"/>
      <c r="P7" s="754"/>
      <c r="Q7" s="754"/>
      <c r="R7" s="1303" t="s">
        <v>1267</v>
      </c>
      <c r="S7" s="1303"/>
      <c r="T7" s="1303" t="s">
        <v>1266</v>
      </c>
      <c r="U7" s="1303"/>
      <c r="V7" s="1303"/>
    </row>
    <row r="8" spans="1:27" s="101" customFormat="1" ht="36.6" customHeight="1" x14ac:dyDescent="0.2">
      <c r="A8" s="1305"/>
      <c r="B8" s="1164" t="s">
        <v>61</v>
      </c>
      <c r="C8" s="753" t="s">
        <v>62</v>
      </c>
      <c r="D8" s="753" t="s">
        <v>63</v>
      </c>
      <c r="E8" s="753" t="s">
        <v>64</v>
      </c>
      <c r="F8" s="753" t="s">
        <v>62</v>
      </c>
      <c r="G8" s="753" t="s">
        <v>63</v>
      </c>
      <c r="H8" s="753" t="s">
        <v>62</v>
      </c>
      <c r="I8" s="753" t="s">
        <v>63</v>
      </c>
      <c r="J8" s="753" t="s">
        <v>64</v>
      </c>
      <c r="K8" s="1163" t="s">
        <v>65</v>
      </c>
      <c r="L8" s="753" t="s">
        <v>62</v>
      </c>
      <c r="M8" s="753" t="s">
        <v>63</v>
      </c>
      <c r="N8" s="753" t="s">
        <v>64</v>
      </c>
      <c r="O8" s="1164"/>
      <c r="P8" s="1164"/>
      <c r="Q8" s="1164"/>
      <c r="R8" s="753" t="s">
        <v>62</v>
      </c>
      <c r="S8" s="753" t="s">
        <v>63</v>
      </c>
      <c r="T8" s="753" t="s">
        <v>62</v>
      </c>
      <c r="U8" s="753" t="s">
        <v>63</v>
      </c>
      <c r="V8" s="753" t="s">
        <v>64</v>
      </c>
    </row>
    <row r="9" spans="1:27" ht="11.45" customHeight="1" x14ac:dyDescent="0.2">
      <c r="A9" s="624">
        <v>1</v>
      </c>
      <c r="B9" s="1252" t="s">
        <v>24</v>
      </c>
      <c r="C9" s="140"/>
      <c r="D9" s="140"/>
      <c r="E9" s="140"/>
      <c r="F9" s="140"/>
      <c r="G9" s="140"/>
      <c r="H9" s="140"/>
      <c r="I9" s="140"/>
      <c r="J9" s="1262"/>
      <c r="K9" s="103" t="s">
        <v>25</v>
      </c>
      <c r="L9" s="140"/>
      <c r="M9" s="140"/>
      <c r="N9" s="136"/>
      <c r="O9" s="147"/>
      <c r="P9" s="147"/>
      <c r="Q9" s="147"/>
      <c r="R9" s="147"/>
      <c r="S9" s="147"/>
      <c r="T9" s="147"/>
      <c r="U9" s="147"/>
      <c r="V9" s="231"/>
      <c r="W9" s="8"/>
      <c r="X9" s="8"/>
      <c r="Y9" s="8"/>
      <c r="Z9" s="8"/>
      <c r="AA9" s="8"/>
    </row>
    <row r="10" spans="1:27" x14ac:dyDescent="0.2">
      <c r="A10" s="624">
        <f t="shared" ref="A10:A53" si="0">A9+1</f>
        <v>2</v>
      </c>
      <c r="B10" s="134" t="s">
        <v>213</v>
      </c>
      <c r="C10" s="225"/>
      <c r="D10" s="225"/>
      <c r="E10" s="225">
        <f>SUM(C10:D10)</f>
        <v>0</v>
      </c>
      <c r="F10" s="225"/>
      <c r="G10" s="225"/>
      <c r="H10" s="225"/>
      <c r="I10" s="225"/>
      <c r="J10" s="390"/>
      <c r="K10" s="225" t="s">
        <v>231</v>
      </c>
      <c r="L10" s="225">
        <f>'pü.mérleg Önkorm.'!L10+'pü.mérleg Hivatal'!M12+'püm. GAMESZ. '!L12+'püm-TASZII.'!L12+püm.Brunszvik!G12+'püm Festetics'!L12</f>
        <v>572377</v>
      </c>
      <c r="M10" s="225">
        <f>'pü.mérleg Önkorm.'!M10+'pü.mérleg Hivatal'!N12+'püm. GAMESZ. '!M12+'püm-TASZII.'!M12+püm.Brunszvik!H12+'püm Festetics'!M12</f>
        <v>339424</v>
      </c>
      <c r="N10" s="1253">
        <f>SUM(L10:M10)</f>
        <v>911801</v>
      </c>
      <c r="O10" s="136" t="e">
        <f>'pü.mérleg Önkorm.'!#REF!+'pü.mérleg Hivatal'!#REF!+'püm. GAMESZ. '!#REF!+püm.Brunszvik!#REF!+'püm-TASZII.'!#REF!</f>
        <v>#REF!</v>
      </c>
      <c r="P10" s="136" t="e">
        <f>'pü.mérleg Önkorm.'!#REF!+'pü.mérleg Hivatal'!#REF!+'püm. GAMESZ. '!#REF!++'püm-TASZII.'!#REF!+püm.Brunszvik!#REF!</f>
        <v>#REF!</v>
      </c>
      <c r="Q10" s="136" t="e">
        <f>'pü.mérleg Önkorm.'!#REF!+'pü.mérleg Hivatal'!#REF!+'püm. GAMESZ. '!#REF!+püm.Brunszvik!#REF!+'püm-TASZII.'!#REF!</f>
        <v>#REF!</v>
      </c>
      <c r="R10" s="136">
        <v>2185</v>
      </c>
      <c r="S10" s="136">
        <v>2388</v>
      </c>
      <c r="T10" s="136">
        <f>L10+R10</f>
        <v>574562</v>
      </c>
      <c r="U10" s="136">
        <f>M10+S10</f>
        <v>341812</v>
      </c>
      <c r="V10" s="232">
        <f>SUM(T10:U10)</f>
        <v>916374</v>
      </c>
      <c r="W10" s="8"/>
      <c r="X10" s="8"/>
      <c r="Y10" s="8"/>
      <c r="Z10" s="8"/>
      <c r="AA10" s="8"/>
    </row>
    <row r="11" spans="1:27" x14ac:dyDescent="0.2">
      <c r="A11" s="624">
        <f t="shared" si="0"/>
        <v>3</v>
      </c>
      <c r="B11" s="134" t="s">
        <v>206</v>
      </c>
      <c r="C11" s="225">
        <f>'tám, végl. pe.átv  '!C11+'tám, végl. pe.átv  '!C19+'tám, végl. pe.átv  '!C20</f>
        <v>722724</v>
      </c>
      <c r="D11" s="225">
        <f>'tám, végl. pe.átv  '!D11+'tám, végl. pe.átv  '!D19+'tám, végl. pe.átv  '!D20</f>
        <v>93769</v>
      </c>
      <c r="E11" s="225">
        <f>'tám, végl. pe.átv  '!E11+'tám, végl. pe.átv  '!E19+'tám, végl. pe.átv  '!E20</f>
        <v>816493</v>
      </c>
      <c r="F11" s="225">
        <v>18258</v>
      </c>
      <c r="G11" s="225"/>
      <c r="H11" s="225">
        <f>C11+F11</f>
        <v>740982</v>
      </c>
      <c r="I11" s="225">
        <f>D11+G11</f>
        <v>93769</v>
      </c>
      <c r="J11" s="390">
        <f>SUM(H11:I11)</f>
        <v>834751</v>
      </c>
      <c r="K11" s="1286" t="s">
        <v>232</v>
      </c>
      <c r="L11" s="225">
        <f>'pü.mérleg Önkorm.'!L11+'pü.mérleg Hivatal'!M13+'püm. GAMESZ. '!L13+püm.Brunszvik!G13+'püm-TASZII.'!L13+'püm Festetics'!L13</f>
        <v>127623</v>
      </c>
      <c r="M11" s="225">
        <f>'pü.mérleg Önkorm.'!M11+'pü.mérleg Hivatal'!N13+'püm. GAMESZ. '!M13+püm.Brunszvik!H13+'püm-TASZII.'!M13+'püm Festetics'!M13</f>
        <v>82522.320000000007</v>
      </c>
      <c r="N11" s="225">
        <f>SUM(L11:M11)</f>
        <v>210145.32</v>
      </c>
      <c r="O11" s="136" t="e">
        <f>'pü.mérleg Önkorm.'!#REF!+'pü.mérleg Hivatal'!#REF!+'püm. GAMESZ. '!#REF!+püm.Brunszvik!#REF!+'püm-TASZII.'!#REF!</f>
        <v>#REF!</v>
      </c>
      <c r="P11" s="136" t="e">
        <f>'pü.mérleg Önkorm.'!#REF!+'pü.mérleg Hivatal'!#REF!+'püm. GAMESZ. '!#REF!+püm.Brunszvik!#REF!+'püm-TASZII.'!#REF!</f>
        <v>#REF!</v>
      </c>
      <c r="Q11" s="136" t="e">
        <f>'pü.mérleg Önkorm.'!#REF!+'pü.mérleg Hivatal'!#REF!+'püm. GAMESZ. '!#REF!+püm.Brunszvik!#REF!+'püm-TASZII.'!#REF!</f>
        <v>#REF!</v>
      </c>
      <c r="R11" s="136">
        <v>356</v>
      </c>
      <c r="S11" s="136">
        <v>233</v>
      </c>
      <c r="T11" s="136">
        <f t="shared" ref="T11:T20" si="1">L11+R11</f>
        <v>127979</v>
      </c>
      <c r="U11" s="136">
        <f t="shared" ref="U11:U20" si="2">M11+S11</f>
        <v>82755.320000000007</v>
      </c>
      <c r="V11" s="232">
        <f t="shared" ref="V11:V20" si="3">SUM(T11:U11)</f>
        <v>210734.32</v>
      </c>
      <c r="W11" s="8"/>
      <c r="X11" s="8"/>
      <c r="Y11" s="8"/>
      <c r="Z11" s="8"/>
      <c r="AA11" s="8"/>
    </row>
    <row r="12" spans="1:27" x14ac:dyDescent="0.2">
      <c r="A12" s="624">
        <f t="shared" si="0"/>
        <v>4</v>
      </c>
      <c r="B12" s="134" t="s">
        <v>204</v>
      </c>
      <c r="C12" s="225">
        <f>'pü.mérleg Önkorm.'!C12</f>
        <v>0</v>
      </c>
      <c r="D12" s="225">
        <f>'pü.mérleg Önkorm.'!D12</f>
        <v>0</v>
      </c>
      <c r="E12" s="225">
        <f>'pü.mérleg Önkorm.'!E12</f>
        <v>0</v>
      </c>
      <c r="F12" s="225"/>
      <c r="G12" s="225"/>
      <c r="H12" s="225">
        <f t="shared" ref="H12:H19" si="4">C12+F12</f>
        <v>0</v>
      </c>
      <c r="I12" s="225">
        <f t="shared" ref="I12:I19" si="5">D12+G12</f>
        <v>0</v>
      </c>
      <c r="J12" s="390">
        <f t="shared" ref="J12:J29" si="6">SUM(H12:I12)</f>
        <v>0</v>
      </c>
      <c r="K12" s="225" t="s">
        <v>233</v>
      </c>
      <c r="L12" s="225">
        <f>'pü.mérleg Önkorm.'!L12+'pü.mérleg Hivatal'!M14+'püm. GAMESZ. '!L14+püm.Brunszvik!G14+'püm-TASZII.'!L14+'püm Festetics'!L14</f>
        <v>537209</v>
      </c>
      <c r="M12" s="225">
        <f>'pü.mérleg Önkorm.'!M12+'pü.mérleg Hivatal'!N14+'püm. GAMESZ. '!M14+püm.Brunszvik!H14+'püm-TASZII.'!M14+'püm Festetics'!M14</f>
        <v>491733</v>
      </c>
      <c r="N12" s="225">
        <f>SUM(L12:M12)</f>
        <v>1028942</v>
      </c>
      <c r="O12" s="136" t="e">
        <f>'pü.mérleg Önkorm.'!#REF!+'pü.mérleg Hivatal'!#REF!+'püm. GAMESZ. '!#REF!+püm.Brunszvik!#REF!+'püm-TASZII.'!#REF!</f>
        <v>#REF!</v>
      </c>
      <c r="P12" s="136" t="e">
        <f>'pü.mérleg Önkorm.'!#REF!+'pü.mérleg Hivatal'!#REF!+'püm. GAMESZ. '!#REF!+püm.Brunszvik!#REF!+'püm-TASZII.'!#REF!</f>
        <v>#REF!</v>
      </c>
      <c r="Q12" s="136" t="e">
        <f>'pü.mérleg Önkorm.'!#REF!+'pü.mérleg Hivatal'!#REF!+'püm. GAMESZ. '!#REF!+püm.Brunszvik!#REF!+'püm-TASZII.'!#REF!</f>
        <v>#REF!</v>
      </c>
      <c r="R12" s="136">
        <v>29584</v>
      </c>
      <c r="S12" s="136">
        <v>-5433</v>
      </c>
      <c r="T12" s="136">
        <f t="shared" si="1"/>
        <v>566793</v>
      </c>
      <c r="U12" s="136">
        <f t="shared" si="2"/>
        <v>486300</v>
      </c>
      <c r="V12" s="232">
        <f t="shared" si="3"/>
        <v>1053093</v>
      </c>
      <c r="W12" s="8"/>
      <c r="X12" s="8"/>
      <c r="Y12" s="8"/>
      <c r="Z12" s="8"/>
      <c r="AA12" s="8"/>
    </row>
    <row r="13" spans="1:27" ht="12" customHeight="1" x14ac:dyDescent="0.2">
      <c r="A13" s="624">
        <f t="shared" si="0"/>
        <v>5</v>
      </c>
      <c r="B13" s="1276" t="s">
        <v>207</v>
      </c>
      <c r="C13" s="225">
        <f>'pü.mérleg Önkorm.'!C13+'püm. GAMESZ. '!C14+püm.Brunszvik!C14+'püm-TASZII.'!C14+'pü.mérleg Hivatal'!D13+püm.Brunszvik!C14</f>
        <v>31548</v>
      </c>
      <c r="D13" s="225">
        <f>'pü.mérleg Önkorm.'!D13+'püm. GAMESZ. '!D14+püm.Brunszvik!D14+'püm-TASZII.'!D14+'pü.mérleg Hivatal'!E13+püm.Brunszvik!D14</f>
        <v>0</v>
      </c>
      <c r="E13" s="225">
        <f>'pü.mérleg Önkorm.'!E13+'püm. GAMESZ. '!E14+püm.Brunszvik!E14+'püm-TASZII.'!E14+'pü.mérleg Hivatal'!F13+püm.Brunszvik!E14</f>
        <v>31548</v>
      </c>
      <c r="F13" s="225">
        <v>-71</v>
      </c>
      <c r="G13" s="225">
        <v>5071</v>
      </c>
      <c r="H13" s="225">
        <f t="shared" si="4"/>
        <v>31477</v>
      </c>
      <c r="I13" s="225">
        <f t="shared" si="5"/>
        <v>5071</v>
      </c>
      <c r="J13" s="390">
        <f t="shared" si="6"/>
        <v>36548</v>
      </c>
      <c r="K13" s="225"/>
      <c r="L13" s="225"/>
      <c r="M13" s="225"/>
      <c r="N13" s="1253"/>
      <c r="O13" s="147"/>
      <c r="P13" s="147"/>
      <c r="Q13" s="147"/>
      <c r="R13" s="136"/>
      <c r="S13" s="136"/>
      <c r="T13" s="136">
        <f t="shared" si="1"/>
        <v>0</v>
      </c>
      <c r="U13" s="136">
        <f t="shared" si="2"/>
        <v>0</v>
      </c>
      <c r="V13" s="232">
        <f t="shared" si="3"/>
        <v>0</v>
      </c>
      <c r="W13" s="8"/>
      <c r="X13" s="8"/>
      <c r="Y13" s="8"/>
      <c r="Z13" s="8"/>
      <c r="AA13" s="8"/>
    </row>
    <row r="14" spans="1:27" x14ac:dyDescent="0.2">
      <c r="A14" s="624">
        <f t="shared" si="0"/>
        <v>6</v>
      </c>
      <c r="B14" s="1276" t="s">
        <v>208</v>
      </c>
      <c r="C14" s="225">
        <f>'pü.mérleg Önkorm.'!C14+'püm. GAMESZ. '!C16+püm.Brunszvik!C16+'püm-TASZII.'!C16+'pü.mérleg Hivatal'!D15+püm.Brunszvik!C16</f>
        <v>0</v>
      </c>
      <c r="D14" s="225">
        <f>'felh. bev.  '!E27</f>
        <v>0</v>
      </c>
      <c r="E14" s="225">
        <f>SUM(C14:D14)</f>
        <v>0</v>
      </c>
      <c r="F14" s="225"/>
      <c r="G14" s="225">
        <v>93253</v>
      </c>
      <c r="H14" s="225">
        <f t="shared" si="4"/>
        <v>0</v>
      </c>
      <c r="I14" s="225">
        <f t="shared" si="5"/>
        <v>93253</v>
      </c>
      <c r="J14" s="390">
        <f t="shared" si="6"/>
        <v>93253</v>
      </c>
      <c r="K14" s="225" t="s">
        <v>234</v>
      </c>
      <c r="L14" s="225">
        <f>'pü.mérleg Önkorm.'!L14+'pü.mérleg Hivatal'!M16</f>
        <v>350</v>
      </c>
      <c r="M14" s="225">
        <f>'pü.mérleg Önkorm.'!M14+'pü.mérleg Hivatal'!N16</f>
        <v>13750</v>
      </c>
      <c r="N14" s="225">
        <f>'pü.mérleg Önkorm.'!N14+'pü.mérleg Hivatal'!O16</f>
        <v>14100</v>
      </c>
      <c r="O14" s="136" t="e">
        <f>'pü.mérleg Önkorm.'!#REF!+'pü.mérleg Hivatal'!#REF!</f>
        <v>#REF!</v>
      </c>
      <c r="P14" s="136" t="e">
        <f>'pü.mérleg Önkorm.'!#REF!+'pü.mérleg Hivatal'!#REF!</f>
        <v>#REF!</v>
      </c>
      <c r="Q14" s="136" t="e">
        <f>'pü.mérleg Önkorm.'!#REF!+'pü.mérleg Hivatal'!#REF!</f>
        <v>#REF!</v>
      </c>
      <c r="R14" s="136">
        <v>2800</v>
      </c>
      <c r="S14" s="136">
        <v>-2800</v>
      </c>
      <c r="T14" s="136">
        <f t="shared" si="1"/>
        <v>3150</v>
      </c>
      <c r="U14" s="136">
        <f t="shared" si="2"/>
        <v>10950</v>
      </c>
      <c r="V14" s="232">
        <f t="shared" si="3"/>
        <v>14100</v>
      </c>
      <c r="W14" s="8"/>
      <c r="X14" s="8"/>
      <c r="Y14" s="8"/>
      <c r="Z14" s="8"/>
      <c r="AA14" s="8"/>
    </row>
    <row r="15" spans="1:27" x14ac:dyDescent="0.2">
      <c r="A15" s="624">
        <f t="shared" si="0"/>
        <v>7</v>
      </c>
      <c r="B15" s="134"/>
      <c r="C15" s="225"/>
      <c r="D15" s="225"/>
      <c r="E15" s="225"/>
      <c r="F15" s="225"/>
      <c r="G15" s="225"/>
      <c r="H15" s="225"/>
      <c r="I15" s="225"/>
      <c r="J15" s="390"/>
      <c r="K15" s="225" t="s">
        <v>235</v>
      </c>
      <c r="L15" s="232"/>
      <c r="M15" s="232"/>
      <c r="N15" s="1253"/>
      <c r="O15" s="147"/>
      <c r="P15" s="147"/>
      <c r="Q15" s="147"/>
      <c r="R15" s="136"/>
      <c r="S15" s="136"/>
      <c r="T15" s="136">
        <f t="shared" si="1"/>
        <v>0</v>
      </c>
      <c r="U15" s="136">
        <f t="shared" si="2"/>
        <v>0</v>
      </c>
      <c r="V15" s="232">
        <f t="shared" si="3"/>
        <v>0</v>
      </c>
      <c r="W15" s="8"/>
      <c r="X15" s="8"/>
      <c r="Y15" s="8"/>
      <c r="Z15" s="8"/>
      <c r="AA15" s="8"/>
    </row>
    <row r="16" spans="1:27" x14ac:dyDescent="0.2">
      <c r="A16" s="624">
        <f t="shared" si="0"/>
        <v>8</v>
      </c>
      <c r="B16" s="134" t="s">
        <v>209</v>
      </c>
      <c r="C16" s="225">
        <f>'pü.mérleg Önkorm.'!C16+'püm. GAMESZ. '!C18+püm.Brunszvik!C18+'püm-TASZII.'!C18+'pü.mérleg Hivatal'!D17+püm.Brunszvik!C18</f>
        <v>543007</v>
      </c>
      <c r="D16" s="225">
        <f>'mük. bev.Önkor és Hivatal '!F40</f>
        <v>692313</v>
      </c>
      <c r="E16" s="225">
        <f>SUM(C16:D16)</f>
        <v>1235320</v>
      </c>
      <c r="F16" s="225">
        <v>-86701</v>
      </c>
      <c r="G16" s="225">
        <v>86701</v>
      </c>
      <c r="H16" s="225">
        <f t="shared" si="4"/>
        <v>456306</v>
      </c>
      <c r="I16" s="225">
        <f t="shared" si="5"/>
        <v>779014</v>
      </c>
      <c r="J16" s="390">
        <f t="shared" si="6"/>
        <v>1235320</v>
      </c>
      <c r="K16" s="225" t="s">
        <v>236</v>
      </c>
      <c r="L16" s="225">
        <f>'pü.mérleg Önkorm.'!L16</f>
        <v>7750</v>
      </c>
      <c r="M16" s="225">
        <f>'pü.mérleg Önkorm.'!M16+'pü.mérleg Hivatal'!N18+'püm. GAMESZ. '!M18+püm.Brunszvik!H18+'püm-TASZII.'!M18</f>
        <v>40162</v>
      </c>
      <c r="N16" s="225">
        <f>'pü.mérleg Önkorm.'!N16+'pü.mérleg Hivatal'!O18</f>
        <v>47912</v>
      </c>
      <c r="O16" s="136" t="e">
        <f>'pü.mérleg Önkorm.'!#REF!</f>
        <v>#REF!</v>
      </c>
      <c r="P16" s="136" t="e">
        <f>'pü.mérleg Önkorm.'!#REF!</f>
        <v>#REF!</v>
      </c>
      <c r="Q16" s="136" t="e">
        <f>'pü.mérleg Önkorm.'!#REF!</f>
        <v>#REF!</v>
      </c>
      <c r="R16" s="136">
        <v>-2000</v>
      </c>
      <c r="S16" s="136">
        <v>5461</v>
      </c>
      <c r="T16" s="136">
        <f t="shared" si="1"/>
        <v>5750</v>
      </c>
      <c r="U16" s="136">
        <f t="shared" si="2"/>
        <v>45623</v>
      </c>
      <c r="V16" s="232">
        <f t="shared" si="3"/>
        <v>51373</v>
      </c>
      <c r="W16" s="8"/>
      <c r="X16" s="8"/>
      <c r="Y16" s="8"/>
      <c r="Z16" s="8"/>
      <c r="AA16" s="8"/>
    </row>
    <row r="17" spans="1:27" x14ac:dyDescent="0.2">
      <c r="A17" s="624">
        <f t="shared" si="0"/>
        <v>9</v>
      </c>
      <c r="B17" s="137" t="s">
        <v>40</v>
      </c>
      <c r="C17" s="225"/>
      <c r="D17" s="1253"/>
      <c r="E17" s="1253"/>
      <c r="F17" s="1253"/>
      <c r="G17" s="1253"/>
      <c r="H17" s="225"/>
      <c r="I17" s="225"/>
      <c r="J17" s="390"/>
      <c r="K17" s="225" t="s">
        <v>237</v>
      </c>
      <c r="L17" s="225">
        <f>'pü.mérleg Önkorm.'!L17</f>
        <v>266185</v>
      </c>
      <c r="M17" s="225">
        <f>'pü.mérleg Önkorm.'!M17</f>
        <v>19908</v>
      </c>
      <c r="N17" s="225">
        <f>'pü.mérleg Önkorm.'!N17</f>
        <v>286093</v>
      </c>
      <c r="O17" s="136" t="e">
        <f>'pü.mérleg Önkorm.'!#REF!</f>
        <v>#REF!</v>
      </c>
      <c r="P17" s="136" t="e">
        <f>'pü.mérleg Önkorm.'!#REF!</f>
        <v>#REF!</v>
      </c>
      <c r="Q17" s="136" t="e">
        <f>'pü.mérleg Önkorm.'!#REF!</f>
        <v>#REF!</v>
      </c>
      <c r="R17" s="136">
        <v>-149500</v>
      </c>
      <c r="S17" s="136">
        <v>150500</v>
      </c>
      <c r="T17" s="136">
        <f t="shared" si="1"/>
        <v>116685</v>
      </c>
      <c r="U17" s="136">
        <f t="shared" si="2"/>
        <v>170408</v>
      </c>
      <c r="V17" s="232">
        <f t="shared" si="3"/>
        <v>287093</v>
      </c>
      <c r="W17" s="8"/>
      <c r="X17" s="8"/>
      <c r="Y17" s="8"/>
      <c r="Z17" s="8"/>
      <c r="AA17" s="8"/>
    </row>
    <row r="18" spans="1:27" x14ac:dyDescent="0.2">
      <c r="A18" s="624">
        <f t="shared" si="0"/>
        <v>10</v>
      </c>
      <c r="B18" s="137"/>
      <c r="C18" s="225"/>
      <c r="D18" s="1253"/>
      <c r="E18" s="1253"/>
      <c r="F18" s="1253"/>
      <c r="G18" s="1253"/>
      <c r="H18" s="225"/>
      <c r="I18" s="225"/>
      <c r="J18" s="390"/>
      <c r="K18" s="225" t="s">
        <v>238</v>
      </c>
      <c r="L18" s="225">
        <f>'pü.mérleg Önkorm.'!L18+'pü.mérleg Hivatal'!M20+'püm. GAMESZ. '!L20+püm.Brunszvik!G20+'püm Festetics'!L20+'püm-TASZII.'!L20</f>
        <v>451</v>
      </c>
      <c r="M18" s="225">
        <f>'pü.mérleg Önkorm.'!M18+'pü.mérleg Hivatal'!N20+'püm. GAMESZ. '!M20+püm.Brunszvik!H20+'püm Festetics'!M20+'püm-TASZII.'!M20</f>
        <v>0</v>
      </c>
      <c r="N18" s="225">
        <f>'pü.mérleg Önkorm.'!N18+'pü.mérleg Hivatal'!O20+'püm. GAMESZ. '!N20+püm.Brunszvik!I20+'püm Festetics'!N20+'püm-TASZII.'!N20</f>
        <v>451</v>
      </c>
      <c r="O18" s="97">
        <f>'pü.mérleg Önkorm.'!O18+'pü.mérleg Hivatal'!P20+'püm. GAMESZ. '!O20+püm.Brunszvik!J20+'püm Festetics'!O20+'püm-TASZII.'!O20</f>
        <v>0</v>
      </c>
      <c r="P18" s="97">
        <f>'pü.mérleg Önkorm.'!P18+'pü.mérleg Hivatal'!Q20+'püm. GAMESZ. '!P20+püm.Brunszvik!K20+'püm Festetics'!P20+'püm-TASZII.'!P20</f>
        <v>0</v>
      </c>
      <c r="Q18" s="97">
        <f>'pü.mérleg Önkorm.'!Q18+'pü.mérleg Hivatal'!R20+'püm. GAMESZ. '!Q20+püm.Brunszvik!L20+'püm Festetics'!Q20+'püm-TASZII.'!Q20</f>
        <v>0</v>
      </c>
      <c r="R18" s="136"/>
      <c r="S18" s="136"/>
      <c r="T18" s="136">
        <f t="shared" si="1"/>
        <v>451</v>
      </c>
      <c r="U18" s="136">
        <f t="shared" si="2"/>
        <v>0</v>
      </c>
      <c r="V18" s="232">
        <f t="shared" si="3"/>
        <v>451</v>
      </c>
      <c r="W18" s="8"/>
      <c r="X18" s="8"/>
      <c r="Y18" s="8"/>
      <c r="Z18" s="8"/>
      <c r="AA18" s="8"/>
    </row>
    <row r="19" spans="1:27" x14ac:dyDescent="0.2">
      <c r="A19" s="624">
        <f t="shared" si="0"/>
        <v>11</v>
      </c>
      <c r="B19" s="134" t="s">
        <v>210</v>
      </c>
      <c r="C19" s="225">
        <f>'pü.mérleg Önkorm.'!C19+'pü.mérleg Hivatal'!D20+'püm. GAMESZ. '!C20+püm.Brunszvik!C20+'püm-TASZII.'!C20+'püm Festetics'!C20</f>
        <v>164294</v>
      </c>
      <c r="D19" s="225">
        <f>'pü.mérleg Önkorm.'!D19+'pü.mérleg Hivatal'!E20+'püm. GAMESZ. '!D20+püm.Brunszvik!D20+'püm-TASZII.'!D20+'püm Festetics'!D20</f>
        <v>193382</v>
      </c>
      <c r="E19" s="225">
        <f>SUM(C19:D19)</f>
        <v>357676</v>
      </c>
      <c r="F19" s="225"/>
      <c r="G19" s="225">
        <v>1820</v>
      </c>
      <c r="H19" s="225">
        <f t="shared" si="4"/>
        <v>164294</v>
      </c>
      <c r="I19" s="225">
        <f t="shared" si="5"/>
        <v>195202</v>
      </c>
      <c r="J19" s="390">
        <f t="shared" si="6"/>
        <v>359496</v>
      </c>
      <c r="K19" s="225" t="s">
        <v>239</v>
      </c>
      <c r="L19" s="225"/>
      <c r="M19" s="225">
        <f>'pü.mérleg Önkorm.'!M19</f>
        <v>65088</v>
      </c>
      <c r="N19" s="1253">
        <f>SUM(L19:M19)</f>
        <v>65088</v>
      </c>
      <c r="O19" s="147"/>
      <c r="P19" s="147"/>
      <c r="Q19" s="147"/>
      <c r="R19" s="136"/>
      <c r="S19" s="136">
        <v>-1059</v>
      </c>
      <c r="T19" s="136">
        <f t="shared" si="1"/>
        <v>0</v>
      </c>
      <c r="U19" s="136">
        <f t="shared" si="2"/>
        <v>64029</v>
      </c>
      <c r="V19" s="232">
        <f t="shared" si="3"/>
        <v>64029</v>
      </c>
      <c r="W19" s="8"/>
      <c r="X19" s="8"/>
      <c r="Y19" s="8"/>
      <c r="Z19" s="8"/>
      <c r="AA19" s="8"/>
    </row>
    <row r="20" spans="1:27" x14ac:dyDescent="0.2">
      <c r="A20" s="624">
        <f t="shared" si="0"/>
        <v>12</v>
      </c>
      <c r="B20" s="147"/>
      <c r="C20" s="1253"/>
      <c r="D20" s="1253"/>
      <c r="E20" s="1253"/>
      <c r="F20" s="1253"/>
      <c r="G20" s="1253"/>
      <c r="H20" s="1253"/>
      <c r="I20" s="1253"/>
      <c r="J20" s="390"/>
      <c r="K20" s="225" t="s">
        <v>240</v>
      </c>
      <c r="L20" s="225">
        <f>'pü.mérleg Önkorm.'!L20</f>
        <v>20000</v>
      </c>
      <c r="M20" s="225">
        <f>'pü.mérleg Önkorm.'!M20</f>
        <v>0</v>
      </c>
      <c r="N20" s="1253">
        <f>SUM(L20:M20)</f>
        <v>20000</v>
      </c>
      <c r="O20" s="147"/>
      <c r="P20" s="147"/>
      <c r="Q20" s="147"/>
      <c r="R20" s="136">
        <v>-15917</v>
      </c>
      <c r="S20" s="136">
        <v>152</v>
      </c>
      <c r="T20" s="136">
        <f t="shared" si="1"/>
        <v>4083</v>
      </c>
      <c r="U20" s="136">
        <f t="shared" si="2"/>
        <v>152</v>
      </c>
      <c r="V20" s="232">
        <f t="shared" si="3"/>
        <v>4235</v>
      </c>
      <c r="W20" s="8"/>
      <c r="X20" s="8"/>
      <c r="Y20" s="8"/>
      <c r="Z20" s="8"/>
      <c r="AA20" s="8"/>
    </row>
    <row r="21" spans="1:27" s="102" customFormat="1" x14ac:dyDescent="0.2">
      <c r="A21" s="624">
        <f t="shared" si="0"/>
        <v>13</v>
      </c>
      <c r="B21" s="147" t="s">
        <v>212</v>
      </c>
      <c r="C21" s="1253"/>
      <c r="D21" s="1253"/>
      <c r="E21" s="1253"/>
      <c r="F21" s="1253"/>
      <c r="G21" s="1253"/>
      <c r="H21" s="1253"/>
      <c r="I21" s="1253"/>
      <c r="J21" s="390"/>
      <c r="K21" s="232"/>
      <c r="L21" s="232"/>
      <c r="M21" s="232"/>
      <c r="N21" s="232"/>
      <c r="O21" s="1290"/>
      <c r="P21" s="1290"/>
      <c r="Q21" s="1290"/>
      <c r="R21" s="144"/>
      <c r="S21" s="144"/>
      <c r="T21" s="136"/>
      <c r="U21" s="136"/>
      <c r="V21" s="289"/>
    </row>
    <row r="22" spans="1:27" s="102" customFormat="1" x14ac:dyDescent="0.2">
      <c r="A22" s="624">
        <f t="shared" si="0"/>
        <v>14</v>
      </c>
      <c r="B22" s="147" t="s">
        <v>211</v>
      </c>
      <c r="C22" s="1253"/>
      <c r="D22" s="1253"/>
      <c r="E22" s="1253"/>
      <c r="F22" s="1253"/>
      <c r="G22" s="1253"/>
      <c r="H22" s="1253"/>
      <c r="I22" s="1253"/>
      <c r="J22" s="390"/>
      <c r="K22" s="232"/>
      <c r="L22" s="232"/>
      <c r="M22" s="232"/>
      <c r="N22" s="232"/>
      <c r="O22" s="1290"/>
      <c r="P22" s="1290"/>
      <c r="Q22" s="1290"/>
      <c r="R22" s="144"/>
      <c r="S22" s="144"/>
      <c r="T22" s="136"/>
      <c r="U22" s="136"/>
      <c r="V22" s="289"/>
    </row>
    <row r="23" spans="1:27" x14ac:dyDescent="0.2">
      <c r="A23" s="624">
        <f t="shared" si="0"/>
        <v>15</v>
      </c>
      <c r="B23" s="134" t="s">
        <v>214</v>
      </c>
      <c r="C23" s="1278"/>
      <c r="D23" s="1278">
        <f>'pü.mérleg Önkorm.'!D23+'pü.mérleg Hivatal'!E24+'püm. GAMESZ. '!D24+püm.Brunszvik!D24+'püm-TASZII.'!D24</f>
        <v>0</v>
      </c>
      <c r="E23" s="1253">
        <f>SUM(C23:D23)</f>
        <v>0</v>
      </c>
      <c r="F23" s="1253"/>
      <c r="G23" s="1253">
        <v>6740</v>
      </c>
      <c r="H23" s="1253">
        <f>C23+F23</f>
        <v>0</v>
      </c>
      <c r="I23" s="1253">
        <f>D23+G23</f>
        <v>6740</v>
      </c>
      <c r="J23" s="390">
        <f t="shared" si="6"/>
        <v>6740</v>
      </c>
      <c r="K23" s="288" t="s">
        <v>66</v>
      </c>
      <c r="L23" s="288">
        <f>SUM(L10:L21)</f>
        <v>1531945</v>
      </c>
      <c r="M23" s="288">
        <f>SUM(M10:M21)</f>
        <v>1052587.32</v>
      </c>
      <c r="N23" s="288">
        <f>SUM(N10:N21)</f>
        <v>2584532.3200000003</v>
      </c>
      <c r="O23" s="136" t="e">
        <f>'pü.mérleg Önkorm.'!#REF!+'pü.mérleg Hivatal'!#REF!+'püm. GAMESZ. '!#REF!+püm.Brunszvik!#REF!+'püm-TASZII.'!#REF!</f>
        <v>#REF!</v>
      </c>
      <c r="P23" s="136" t="e">
        <f>'pü.mérleg Önkorm.'!#REF!+'pü.mérleg Hivatal'!#REF!+'püm. GAMESZ. '!#REF!+püm.Brunszvik!#REF!+'püm-TASZII.'!#REF!</f>
        <v>#REF!</v>
      </c>
      <c r="Q23" s="136" t="e">
        <f>'pü.mérleg Önkorm.'!#REF!+'pü.mérleg Hivatal'!#REF!+'püm. GAMESZ. '!#REF!+püm.Brunszvik!#REF!+'püm-TASZII.'!#REF!</f>
        <v>#REF!</v>
      </c>
      <c r="R23" s="1256">
        <f>SUM(R10:R22)</f>
        <v>-132492</v>
      </c>
      <c r="S23" s="1256">
        <f>SUM(S10:S22)</f>
        <v>149442</v>
      </c>
      <c r="T23" s="1256">
        <f>SUM(T10:T22)</f>
        <v>1399453</v>
      </c>
      <c r="U23" s="1256">
        <f>SUM(U10:U22)</f>
        <v>1202029.32</v>
      </c>
      <c r="V23" s="288">
        <f>SUM(V10:V22)</f>
        <v>2601482.3200000003</v>
      </c>
      <c r="W23" s="8"/>
      <c r="X23" s="8"/>
      <c r="Y23" s="8"/>
      <c r="Z23" s="8"/>
      <c r="AA23" s="8"/>
    </row>
    <row r="24" spans="1:27" x14ac:dyDescent="0.2">
      <c r="A24" s="624">
        <f t="shared" si="0"/>
        <v>16</v>
      </c>
      <c r="B24" s="134" t="s">
        <v>215</v>
      </c>
      <c r="C24" s="1253">
        <f>'felh. bev.  '!D14</f>
        <v>0</v>
      </c>
      <c r="D24" s="1253">
        <f>'felh. bev.  '!E14</f>
        <v>0</v>
      </c>
      <c r="E24" s="1253">
        <f>'felh. bev.  '!F14</f>
        <v>0</v>
      </c>
      <c r="F24" s="1253"/>
      <c r="G24" s="1253"/>
      <c r="H24" s="1253"/>
      <c r="I24" s="1253"/>
      <c r="J24" s="390"/>
      <c r="K24" s="232"/>
      <c r="L24" s="232"/>
      <c r="M24" s="232"/>
      <c r="N24" s="232"/>
      <c r="O24" s="147"/>
      <c r="P24" s="147"/>
      <c r="Q24" s="147"/>
      <c r="R24" s="136"/>
      <c r="S24" s="136"/>
      <c r="T24" s="136"/>
      <c r="U24" s="136"/>
      <c r="V24" s="232"/>
      <c r="W24" s="8"/>
      <c r="X24" s="8"/>
      <c r="Y24" s="8"/>
      <c r="Z24" s="8"/>
      <c r="AA24" s="8"/>
    </row>
    <row r="25" spans="1:27" x14ac:dyDescent="0.2">
      <c r="A25" s="624">
        <f t="shared" si="0"/>
        <v>17</v>
      </c>
      <c r="B25" s="134" t="s">
        <v>216</v>
      </c>
      <c r="C25" s="1279"/>
      <c r="D25" s="225">
        <f>'pü.mérleg Önkorm.'!D25</f>
        <v>0</v>
      </c>
      <c r="E25" s="1253">
        <f>SUM(C25:D25)</f>
        <v>0</v>
      </c>
      <c r="F25" s="1253"/>
      <c r="G25" s="1253"/>
      <c r="H25" s="1253"/>
      <c r="I25" s="1253"/>
      <c r="J25" s="390"/>
      <c r="K25" s="1279" t="s">
        <v>241</v>
      </c>
      <c r="L25" s="290"/>
      <c r="M25" s="290"/>
      <c r="N25" s="232"/>
      <c r="O25" s="147"/>
      <c r="P25" s="147"/>
      <c r="Q25" s="147"/>
      <c r="R25" s="136"/>
      <c r="S25" s="136"/>
      <c r="T25" s="136"/>
      <c r="U25" s="136"/>
      <c r="V25" s="232"/>
      <c r="W25" s="8"/>
      <c r="X25" s="8"/>
      <c r="Y25" s="8"/>
      <c r="Z25" s="8"/>
      <c r="AA25" s="8"/>
    </row>
    <row r="26" spans="1:27" x14ac:dyDescent="0.2">
      <c r="A26" s="624">
        <f t="shared" si="0"/>
        <v>18</v>
      </c>
      <c r="B26" s="134" t="s">
        <v>217</v>
      </c>
      <c r="C26" s="225"/>
      <c r="D26" s="225"/>
      <c r="E26" s="225"/>
      <c r="F26" s="225"/>
      <c r="G26" s="225"/>
      <c r="H26" s="225"/>
      <c r="I26" s="225"/>
      <c r="J26" s="390"/>
      <c r="K26" s="225" t="s">
        <v>242</v>
      </c>
      <c r="L26" s="232">
        <f>'pü.mérleg Önkorm.'!L26+'pü.mérleg Hivatal'!M27+'püm. GAMESZ. '!L27+'püm-TASZII.'!L27+püm.Brunszvik!G27+'püm Festetics'!L27</f>
        <v>2030710</v>
      </c>
      <c r="M26" s="232">
        <f>'pü.mérleg Önkorm.'!M26+'pü.mérleg Hivatal'!N27+'püm. GAMESZ. '!M27+'püm-TASZII.'!M27+'püm Festetics'!M27</f>
        <v>50606</v>
      </c>
      <c r="N26" s="232">
        <f>SUM(L26:M26)</f>
        <v>2081316</v>
      </c>
      <c r="O26" s="136" t="e">
        <f>'pü.mérleg Önkorm.'!#REF!+'pü.mérleg Hivatal'!#REF!+'püm. GAMESZ. '!#REF!+püm.Brunszvik!#REF!+'püm-TASZII.'!#REF!</f>
        <v>#REF!</v>
      </c>
      <c r="P26" s="136" t="e">
        <f>'pü.mérleg Önkorm.'!#REF!+'pü.mérleg Hivatal'!#REF!+'püm. GAMESZ. '!#REF!+püm.Brunszvik!#REF!+'püm-TASZII.'!#REF!</f>
        <v>#REF!</v>
      </c>
      <c r="Q26" s="136" t="e">
        <f>'pü.mérleg Önkorm.'!#REF!+'pü.mérleg Hivatal'!#REF!+'püm. GAMESZ. '!#REF!+püm.Brunszvik!#REF!+'püm-TASZII.'!#REF!</f>
        <v>#REF!</v>
      </c>
      <c r="R26" s="136">
        <v>-14796</v>
      </c>
      <c r="S26" s="136">
        <v>105867</v>
      </c>
      <c r="T26" s="136">
        <f>L26+R26</f>
        <v>2015914</v>
      </c>
      <c r="U26" s="136">
        <f>M26+S26</f>
        <v>156473</v>
      </c>
      <c r="V26" s="232">
        <f>SUM(T26:U26)</f>
        <v>2172387</v>
      </c>
      <c r="W26" s="8"/>
      <c r="X26" s="8"/>
      <c r="Y26" s="8"/>
      <c r="Z26" s="8"/>
      <c r="AA26" s="8"/>
    </row>
    <row r="27" spans="1:27" x14ac:dyDescent="0.2">
      <c r="A27" s="624">
        <f t="shared" si="0"/>
        <v>19</v>
      </c>
      <c r="B27" s="134"/>
      <c r="C27" s="225"/>
      <c r="D27" s="225"/>
      <c r="E27" s="225"/>
      <c r="F27" s="225"/>
      <c r="G27" s="225"/>
      <c r="H27" s="225"/>
      <c r="I27" s="225"/>
      <c r="J27" s="390"/>
      <c r="K27" s="225" t="s">
        <v>243</v>
      </c>
      <c r="L27" s="232">
        <f>'felhalm. kiad.  '!M19</f>
        <v>10000</v>
      </c>
      <c r="M27" s="232">
        <f>'felhalm. kiad.  '!P19</f>
        <v>0</v>
      </c>
      <c r="N27" s="232">
        <f>SUM(L27:M27)</f>
        <v>10000</v>
      </c>
      <c r="O27" s="147"/>
      <c r="P27" s="147"/>
      <c r="Q27" s="147"/>
      <c r="R27" s="136"/>
      <c r="S27" s="136"/>
      <c r="T27" s="136">
        <f t="shared" ref="T27:T31" si="7">L27+R27</f>
        <v>10000</v>
      </c>
      <c r="U27" s="136">
        <f t="shared" ref="U27:U31" si="8">M27+S27</f>
        <v>0</v>
      </c>
      <c r="V27" s="232">
        <f t="shared" ref="V27:V31" si="9">SUM(T27:U27)</f>
        <v>10000</v>
      </c>
      <c r="W27" s="8"/>
      <c r="X27" s="8"/>
      <c r="Y27" s="8"/>
      <c r="Z27" s="8"/>
      <c r="AA27" s="8"/>
    </row>
    <row r="28" spans="1:27" x14ac:dyDescent="0.2">
      <c r="A28" s="624">
        <f t="shared" si="0"/>
        <v>20</v>
      </c>
      <c r="B28" s="147" t="s">
        <v>218</v>
      </c>
      <c r="C28" s="225">
        <f>'tám, végl. pe.átv  '!C45</f>
        <v>0</v>
      </c>
      <c r="D28" s="225">
        <v>0</v>
      </c>
      <c r="E28" s="225">
        <f>'tám, végl. pe.átv  '!E45</f>
        <v>0</v>
      </c>
      <c r="F28" s="225"/>
      <c r="G28" s="225">
        <v>62024</v>
      </c>
      <c r="H28" s="225">
        <f>C28+F28</f>
        <v>0</v>
      </c>
      <c r="I28" s="225">
        <f>D28+G28</f>
        <v>62024</v>
      </c>
      <c r="J28" s="390">
        <f t="shared" si="6"/>
        <v>62024</v>
      </c>
      <c r="K28" s="225" t="s">
        <v>244</v>
      </c>
      <c r="L28" s="232"/>
      <c r="M28" s="232"/>
      <c r="N28" s="232">
        <f>SUM(L28:M28)</f>
        <v>0</v>
      </c>
      <c r="O28" s="147"/>
      <c r="P28" s="147"/>
      <c r="Q28" s="147"/>
      <c r="R28" s="136"/>
      <c r="S28" s="136"/>
      <c r="T28" s="136"/>
      <c r="U28" s="136"/>
      <c r="V28" s="232"/>
      <c r="W28" s="8"/>
      <c r="X28" s="8"/>
      <c r="Y28" s="8"/>
      <c r="Z28" s="8"/>
      <c r="AA28" s="8"/>
    </row>
    <row r="29" spans="1:27" s="102" customFormat="1" x14ac:dyDescent="0.2">
      <c r="A29" s="624">
        <f t="shared" si="0"/>
        <v>21</v>
      </c>
      <c r="B29" s="147" t="s">
        <v>219</v>
      </c>
      <c r="C29" s="225">
        <f>'felh. bev.  '!D31+'felh. bev.  '!D37</f>
        <v>0</v>
      </c>
      <c r="D29" s="225">
        <f>'felh. bev.  '!E31+'felh. bev.  '!E37</f>
        <v>2870</v>
      </c>
      <c r="E29" s="225">
        <f>'felh. bev.  '!F31+'felh. bev.  '!F37</f>
        <v>2870</v>
      </c>
      <c r="F29" s="225"/>
      <c r="G29" s="225"/>
      <c r="H29" s="225">
        <f>C29+F29</f>
        <v>0</v>
      </c>
      <c r="I29" s="225">
        <f>D29+G29</f>
        <v>2870</v>
      </c>
      <c r="J29" s="390">
        <f t="shared" si="6"/>
        <v>2870</v>
      </c>
      <c r="K29" s="1286" t="s">
        <v>246</v>
      </c>
      <c r="L29" s="232">
        <f>'felhalm. kiad.  '!M74</f>
        <v>0</v>
      </c>
      <c r="M29" s="232">
        <f>'felhalm. kiad.  '!P74</f>
        <v>0</v>
      </c>
      <c r="N29" s="232">
        <f>SUM(L29:M29)</f>
        <v>0</v>
      </c>
      <c r="O29" s="1290"/>
      <c r="P29" s="1290"/>
      <c r="Q29" s="1290"/>
      <c r="R29" s="144"/>
      <c r="S29" s="144"/>
      <c r="T29" s="136"/>
      <c r="U29" s="136"/>
      <c r="V29" s="232"/>
    </row>
    <row r="30" spans="1:27" x14ac:dyDescent="0.2">
      <c r="A30" s="624">
        <f t="shared" si="0"/>
        <v>22</v>
      </c>
      <c r="B30" s="147"/>
      <c r="C30" s="225"/>
      <c r="D30" s="225"/>
      <c r="E30" s="225"/>
      <c r="F30" s="225"/>
      <c r="G30" s="225"/>
      <c r="H30" s="225"/>
      <c r="I30" s="225"/>
      <c r="J30" s="390"/>
      <c r="K30" s="1286" t="s">
        <v>297</v>
      </c>
      <c r="L30" s="232">
        <f>'pü.mérleg Önkorm.'!L30+'pü.mérleg Hivatal'!M31+'püm. GAMESZ. '!L31+'püm-TASZII.'!L31</f>
        <v>33252</v>
      </c>
      <c r="M30" s="232">
        <f>'pü.mérleg Önkorm.'!M30+'pü.mérleg Hivatal'!N31+'püm. GAMESZ. '!M31+'püm-TASZII.'!M31</f>
        <v>35520</v>
      </c>
      <c r="N30" s="232">
        <f>SUM(L30:M30)</f>
        <v>68772</v>
      </c>
      <c r="O30" s="136" t="e">
        <f>'pü.mérleg Önkorm.'!#REF!+'pü.mérleg Hivatal'!#REF!+'püm. GAMESZ. '!#REF!</f>
        <v>#REF!</v>
      </c>
      <c r="P30" s="136" t="e">
        <f>'pü.mérleg Önkorm.'!#REF!+'pü.mérleg Hivatal'!#REF!+'püm. GAMESZ. '!#REF!</f>
        <v>#REF!</v>
      </c>
      <c r="Q30" s="136" t="e">
        <f>'pü.mérleg Önkorm.'!#REF!+'pü.mérleg Hivatal'!#REF!+'püm. GAMESZ. '!#REF!</f>
        <v>#REF!</v>
      </c>
      <c r="R30" s="136"/>
      <c r="S30" s="136">
        <v>300</v>
      </c>
      <c r="T30" s="136">
        <f t="shared" si="7"/>
        <v>33252</v>
      </c>
      <c r="U30" s="136">
        <f t="shared" si="8"/>
        <v>35820</v>
      </c>
      <c r="V30" s="232">
        <f t="shared" si="9"/>
        <v>69072</v>
      </c>
      <c r="W30" s="8"/>
      <c r="X30" s="8"/>
      <c r="Y30" s="8"/>
      <c r="Z30" s="8"/>
      <c r="AA30" s="8"/>
    </row>
    <row r="31" spans="1:27" s="9" customFormat="1" x14ac:dyDescent="0.2">
      <c r="A31" s="624">
        <f t="shared" si="0"/>
        <v>23</v>
      </c>
      <c r="B31" s="1257" t="s">
        <v>52</v>
      </c>
      <c r="C31" s="1297">
        <f>C12+C19+C11+C16+C13+C28</f>
        <v>1461573</v>
      </c>
      <c r="D31" s="1297">
        <f>D12+D19+D11+D16+D13+D28</f>
        <v>979464</v>
      </c>
      <c r="E31" s="1297">
        <f>E12+E19+E11+E16+E13+E28</f>
        <v>2441037</v>
      </c>
      <c r="F31" s="1297">
        <f>F11+F13+F16+F19+F28</f>
        <v>-68514</v>
      </c>
      <c r="G31" s="1297">
        <f>G11+G13+G16+G19+G28</f>
        <v>155616</v>
      </c>
      <c r="H31" s="1297">
        <f t="shared" ref="H31:J31" si="10">H11+H13+H16+H19+H28</f>
        <v>1393059</v>
      </c>
      <c r="I31" s="1297">
        <f t="shared" si="10"/>
        <v>1135080</v>
      </c>
      <c r="J31" s="1298">
        <f t="shared" si="10"/>
        <v>2528139</v>
      </c>
      <c r="K31" s="225" t="s">
        <v>298</v>
      </c>
      <c r="L31" s="232">
        <f>tartalék!C19</f>
        <v>265118</v>
      </c>
      <c r="M31" s="232">
        <f>tartalék!D19</f>
        <v>0</v>
      </c>
      <c r="N31" s="232">
        <f>tartalék!E19</f>
        <v>265118</v>
      </c>
      <c r="O31" s="145"/>
      <c r="P31" s="145"/>
      <c r="Q31" s="145"/>
      <c r="R31" s="136">
        <v>78774</v>
      </c>
      <c r="S31" s="140"/>
      <c r="T31" s="136">
        <f t="shared" si="7"/>
        <v>343892</v>
      </c>
      <c r="U31" s="136">
        <f t="shared" si="8"/>
        <v>0</v>
      </c>
      <c r="V31" s="232">
        <f t="shared" si="9"/>
        <v>343892</v>
      </c>
    </row>
    <row r="32" spans="1:27" x14ac:dyDescent="0.2">
      <c r="A32" s="624">
        <f t="shared" si="0"/>
        <v>24</v>
      </c>
      <c r="B32" s="137" t="s">
        <v>67</v>
      </c>
      <c r="C32" s="1281">
        <f>C14+C22+C23+C24+C25+C26+C29</f>
        <v>0</v>
      </c>
      <c r="D32" s="1281">
        <f>D14+D22+D23+D24+D25+D26+D29</f>
        <v>2870</v>
      </c>
      <c r="E32" s="1281">
        <f>E14+E22+E23+E24+E25+E26+E29</f>
        <v>2870</v>
      </c>
      <c r="F32" s="1281">
        <f>F14+F22+F23+F24+F25+F26+F29</f>
        <v>0</v>
      </c>
      <c r="G32" s="1281">
        <f>G14+G22+G23+G24+G25+G26+G29</f>
        <v>99993</v>
      </c>
      <c r="H32" s="1281">
        <f t="shared" ref="H32:J32" si="11">H14+H22+H23+H24+H25+H26+H29</f>
        <v>0</v>
      </c>
      <c r="I32" s="1281">
        <f t="shared" si="11"/>
        <v>102863</v>
      </c>
      <c r="J32" s="1294">
        <f t="shared" si="11"/>
        <v>102863</v>
      </c>
      <c r="K32" s="1281" t="s">
        <v>68</v>
      </c>
      <c r="L32" s="288">
        <f>SUM(L26:L31)</f>
        <v>2339080</v>
      </c>
      <c r="M32" s="288">
        <f>SUM(M26:M31)</f>
        <v>86126</v>
      </c>
      <c r="N32" s="288">
        <f>SUM(N26:N31)</f>
        <v>2425206</v>
      </c>
      <c r="O32" s="136" t="e">
        <f>'pü.mérleg Önkorm.'!#REF!+'pü.mérleg Hivatal'!#REF!+'püm. GAMESZ. '!#REF!+püm.Brunszvik!#REF!+'püm-TASZII.'!#REF!</f>
        <v>#REF!</v>
      </c>
      <c r="P32" s="136" t="e">
        <f>'pü.mérleg Önkorm.'!#REF!+'pü.mérleg Hivatal'!#REF!+'püm. GAMESZ. '!#REF!+püm.Brunszvik!#REF!+'püm-TASZII.'!#REF!</f>
        <v>#REF!</v>
      </c>
      <c r="Q32" s="136" t="e">
        <f>'pü.mérleg Önkorm.'!#REF!+'pü.mérleg Hivatal'!#REF!+'püm. GAMESZ. '!#REF!+püm.Brunszvik!#REF!+'püm-TASZII.'!#REF!</f>
        <v>#REF!</v>
      </c>
      <c r="R32" s="1256">
        <f>SUM(R26:R31)</f>
        <v>63978</v>
      </c>
      <c r="S32" s="1256">
        <f>SUM(S26:S31)</f>
        <v>106167</v>
      </c>
      <c r="T32" s="1256">
        <f>SUM(T26:T31)</f>
        <v>2403058</v>
      </c>
      <c r="U32" s="1256">
        <f>SUM(U26:U31)</f>
        <v>192293</v>
      </c>
      <c r="V32" s="288">
        <f>SUM(V26:V31)</f>
        <v>2595351</v>
      </c>
      <c r="W32" s="8"/>
      <c r="X32" s="8"/>
      <c r="Y32" s="8"/>
      <c r="Z32" s="8"/>
      <c r="AA32" s="8"/>
    </row>
    <row r="33" spans="1:27" x14ac:dyDescent="0.2">
      <c r="A33" s="624">
        <f t="shared" si="0"/>
        <v>25</v>
      </c>
      <c r="B33" s="145" t="s">
        <v>51</v>
      </c>
      <c r="C33" s="1279">
        <f>SUM(C31:C32)</f>
        <v>1461573</v>
      </c>
      <c r="D33" s="1279">
        <f>SUM(D31:D32)</f>
        <v>982334</v>
      </c>
      <c r="E33" s="1279">
        <f>SUM(C33:D33)</f>
        <v>2443907</v>
      </c>
      <c r="F33" s="1279">
        <f>F31+F32</f>
        <v>-68514</v>
      </c>
      <c r="G33" s="1279">
        <f t="shared" ref="G33:J33" si="12">G31+G32</f>
        <v>255609</v>
      </c>
      <c r="H33" s="1279">
        <f t="shared" si="12"/>
        <v>1393059</v>
      </c>
      <c r="I33" s="1279">
        <f t="shared" si="12"/>
        <v>1237943</v>
      </c>
      <c r="J33" s="422">
        <f t="shared" si="12"/>
        <v>2631002</v>
      </c>
      <c r="K33" s="290" t="s">
        <v>69</v>
      </c>
      <c r="L33" s="290">
        <f>L23+L32</f>
        <v>3871025</v>
      </c>
      <c r="M33" s="290">
        <f>M23+M32</f>
        <v>1138713.32</v>
      </c>
      <c r="N33" s="290">
        <f>N23+N32</f>
        <v>5009738.32</v>
      </c>
      <c r="O33" s="147"/>
      <c r="P33" s="147"/>
      <c r="Q33" s="147"/>
      <c r="R33" s="140">
        <f>R32+R23</f>
        <v>-68514</v>
      </c>
      <c r="S33" s="140">
        <f t="shared" ref="S33:V33" si="13">S32+S23</f>
        <v>255609</v>
      </c>
      <c r="T33" s="140">
        <f t="shared" si="13"/>
        <v>3802511</v>
      </c>
      <c r="U33" s="140">
        <f t="shared" si="13"/>
        <v>1394322.32</v>
      </c>
      <c r="V33" s="140">
        <f t="shared" si="13"/>
        <v>5196833.32</v>
      </c>
      <c r="W33" s="8"/>
      <c r="X33" s="8"/>
      <c r="Y33" s="8"/>
      <c r="Z33" s="8"/>
      <c r="AA33" s="8"/>
    </row>
    <row r="34" spans="1:27" x14ac:dyDescent="0.2">
      <c r="A34" s="624">
        <f t="shared" si="0"/>
        <v>26</v>
      </c>
      <c r="B34" s="147"/>
      <c r="C34" s="225"/>
      <c r="D34" s="225"/>
      <c r="E34" s="225"/>
      <c r="F34" s="225"/>
      <c r="G34" s="225"/>
      <c r="H34" s="225"/>
      <c r="I34" s="225"/>
      <c r="J34" s="390"/>
      <c r="K34" s="232"/>
      <c r="L34" s="232"/>
      <c r="M34" s="232"/>
      <c r="N34" s="232"/>
      <c r="O34" s="147"/>
      <c r="P34" s="147"/>
      <c r="Q34" s="147"/>
      <c r="R34" s="136"/>
      <c r="S34" s="136"/>
      <c r="T34" s="136"/>
      <c r="U34" s="136"/>
      <c r="V34" s="232"/>
      <c r="W34" s="8"/>
      <c r="X34" s="8"/>
      <c r="Y34" s="8"/>
      <c r="Z34" s="8"/>
      <c r="AA34" s="8"/>
    </row>
    <row r="35" spans="1:27" x14ac:dyDescent="0.2">
      <c r="A35" s="624">
        <f t="shared" si="0"/>
        <v>27</v>
      </c>
      <c r="B35" s="1291" t="s">
        <v>23</v>
      </c>
      <c r="C35" s="225">
        <f>C33-L33</f>
        <v>-2409452</v>
      </c>
      <c r="D35" s="225">
        <f>D33-M33</f>
        <v>-156379.32000000007</v>
      </c>
      <c r="E35" s="225">
        <f>E33-N33</f>
        <v>-2565831.3200000003</v>
      </c>
      <c r="F35" s="225">
        <f t="shared" ref="F35:I35" si="14">F33-R33</f>
        <v>0</v>
      </c>
      <c r="G35" s="225">
        <f t="shared" si="14"/>
        <v>0</v>
      </c>
      <c r="H35" s="225">
        <f t="shared" si="14"/>
        <v>-2409452</v>
      </c>
      <c r="I35" s="225">
        <f t="shared" si="14"/>
        <v>-156379.32000000007</v>
      </c>
      <c r="J35" s="390">
        <f>J33-V33</f>
        <v>-2565831.3200000003</v>
      </c>
      <c r="K35" s="288"/>
      <c r="L35" s="288"/>
      <c r="M35" s="288"/>
      <c r="N35" s="288"/>
      <c r="O35" s="147"/>
      <c r="P35" s="147"/>
      <c r="Q35" s="147"/>
      <c r="R35" s="136"/>
      <c r="S35" s="136"/>
      <c r="T35" s="136"/>
      <c r="U35" s="136"/>
      <c r="V35" s="232"/>
      <c r="W35" s="8"/>
      <c r="X35" s="8"/>
      <c r="Y35" s="8"/>
      <c r="Z35" s="8"/>
      <c r="AA35" s="8"/>
    </row>
    <row r="36" spans="1:27" s="9" customFormat="1" x14ac:dyDescent="0.2">
      <c r="A36" s="624">
        <f t="shared" si="0"/>
        <v>28</v>
      </c>
      <c r="B36" s="147"/>
      <c r="C36" s="225"/>
      <c r="D36" s="225"/>
      <c r="E36" s="225"/>
      <c r="F36" s="225"/>
      <c r="G36" s="225"/>
      <c r="H36" s="225"/>
      <c r="I36" s="225"/>
      <c r="J36" s="390"/>
      <c r="K36" s="232"/>
      <c r="L36" s="232"/>
      <c r="M36" s="232"/>
      <c r="N36" s="232"/>
      <c r="O36" s="145"/>
      <c r="P36" s="145"/>
      <c r="Q36" s="145"/>
      <c r="R36" s="140"/>
      <c r="S36" s="140"/>
      <c r="T36" s="140"/>
      <c r="U36" s="140"/>
      <c r="V36" s="290"/>
    </row>
    <row r="37" spans="1:27" s="9" customFormat="1" x14ac:dyDescent="0.2">
      <c r="A37" s="624">
        <f t="shared" si="0"/>
        <v>29</v>
      </c>
      <c r="B37" s="103" t="s">
        <v>220</v>
      </c>
      <c r="C37" s="1279"/>
      <c r="D37" s="1279"/>
      <c r="E37" s="1279"/>
      <c r="F37" s="1279"/>
      <c r="G37" s="1279"/>
      <c r="H37" s="1279"/>
      <c r="I37" s="1279"/>
      <c r="J37" s="422"/>
      <c r="K37" s="1279" t="s">
        <v>247</v>
      </c>
      <c r="L37" s="290"/>
      <c r="M37" s="290"/>
      <c r="N37" s="290"/>
      <c r="O37" s="145"/>
      <c r="P37" s="145"/>
      <c r="Q37" s="145"/>
      <c r="R37" s="140"/>
      <c r="S37" s="140"/>
      <c r="T37" s="140"/>
      <c r="U37" s="140"/>
      <c r="V37" s="290"/>
    </row>
    <row r="38" spans="1:27" s="9" customFormat="1" x14ac:dyDescent="0.2">
      <c r="A38" s="624">
        <f t="shared" si="0"/>
        <v>30</v>
      </c>
      <c r="B38" s="1260" t="s">
        <v>221</v>
      </c>
      <c r="C38" s="1279"/>
      <c r="D38" s="1279"/>
      <c r="E38" s="1279"/>
      <c r="F38" s="1279"/>
      <c r="G38" s="1279"/>
      <c r="H38" s="1279"/>
      <c r="I38" s="1279"/>
      <c r="J38" s="422"/>
      <c r="K38" s="1282" t="s">
        <v>248</v>
      </c>
      <c r="L38" s="290"/>
      <c r="M38" s="1259"/>
      <c r="N38" s="1259"/>
      <c r="O38" s="145"/>
      <c r="P38" s="145"/>
      <c r="Q38" s="145"/>
      <c r="R38" s="140"/>
      <c r="S38" s="140"/>
      <c r="T38" s="140"/>
      <c r="U38" s="140"/>
      <c r="V38" s="290"/>
    </row>
    <row r="39" spans="1:27" s="9" customFormat="1" ht="21.75" x14ac:dyDescent="0.2">
      <c r="A39" s="1283">
        <f t="shared" si="0"/>
        <v>31</v>
      </c>
      <c r="B39" s="1284" t="s">
        <v>1081</v>
      </c>
      <c r="C39" s="225">
        <f>'pü.mérleg Önkorm.'!C39</f>
        <v>1243160</v>
      </c>
      <c r="D39" s="225">
        <f>'pü.mérleg Önkorm.'!D39</f>
        <v>0</v>
      </c>
      <c r="E39" s="225">
        <f>'pü.mérleg Önkorm.'!E39</f>
        <v>1243160</v>
      </c>
      <c r="F39" s="225"/>
      <c r="G39" s="225"/>
      <c r="H39" s="225">
        <f>C39+F39</f>
        <v>1243160</v>
      </c>
      <c r="I39" s="225">
        <f>D39+G39</f>
        <v>0</v>
      </c>
      <c r="J39" s="390">
        <f>SUM(H39:I39)</f>
        <v>1243160</v>
      </c>
      <c r="K39" s="231" t="s">
        <v>1012</v>
      </c>
      <c r="L39" s="290"/>
      <c r="M39" s="290"/>
      <c r="N39" s="290"/>
      <c r="O39" s="145"/>
      <c r="P39" s="145"/>
      <c r="Q39" s="145"/>
      <c r="R39" s="140"/>
      <c r="S39" s="140"/>
      <c r="T39" s="140"/>
      <c r="U39" s="140"/>
      <c r="V39" s="290"/>
    </row>
    <row r="40" spans="1:27" x14ac:dyDescent="0.2">
      <c r="A40" s="624">
        <f t="shared" si="0"/>
        <v>32</v>
      </c>
      <c r="B40" s="97" t="s">
        <v>222</v>
      </c>
      <c r="C40" s="1285"/>
      <c r="D40" s="1282"/>
      <c r="E40" s="1282"/>
      <c r="F40" s="1282"/>
      <c r="G40" s="1282"/>
      <c r="H40" s="225"/>
      <c r="I40" s="225"/>
      <c r="J40" s="390"/>
      <c r="K40" s="225" t="s">
        <v>249</v>
      </c>
      <c r="L40" s="290"/>
      <c r="M40" s="290"/>
      <c r="N40" s="290"/>
      <c r="O40" s="147"/>
      <c r="P40" s="147"/>
      <c r="Q40" s="147"/>
      <c r="R40" s="136"/>
      <c r="S40" s="136"/>
      <c r="T40" s="136"/>
      <c r="U40" s="136"/>
      <c r="V40" s="232"/>
      <c r="W40" s="8"/>
      <c r="X40" s="8"/>
      <c r="Y40" s="8"/>
      <c r="Z40" s="8"/>
      <c r="AA40" s="8"/>
    </row>
    <row r="41" spans="1:27" x14ac:dyDescent="0.2">
      <c r="A41" s="624">
        <f t="shared" si="0"/>
        <v>33</v>
      </c>
      <c r="B41" s="97" t="s">
        <v>223</v>
      </c>
      <c r="C41" s="225"/>
      <c r="D41" s="225"/>
      <c r="E41" s="225"/>
      <c r="F41" s="225"/>
      <c r="G41" s="225"/>
      <c r="H41" s="225"/>
      <c r="I41" s="225"/>
      <c r="J41" s="390"/>
      <c r="K41" s="225" t="s">
        <v>250</v>
      </c>
      <c r="L41" s="290"/>
      <c r="M41" s="290"/>
      <c r="N41" s="290"/>
      <c r="O41" s="147"/>
      <c r="P41" s="147"/>
      <c r="Q41" s="147"/>
      <c r="R41" s="136"/>
      <c r="S41" s="136"/>
      <c r="T41" s="136"/>
      <c r="U41" s="136"/>
      <c r="V41" s="232"/>
      <c r="W41" s="8"/>
      <c r="X41" s="8"/>
      <c r="Y41" s="8"/>
      <c r="Z41" s="8"/>
      <c r="AA41" s="8"/>
    </row>
    <row r="42" spans="1:27" x14ac:dyDescent="0.2">
      <c r="A42" s="624">
        <f t="shared" si="0"/>
        <v>34</v>
      </c>
      <c r="B42" s="1292" t="s">
        <v>984</v>
      </c>
      <c r="C42" s="225">
        <f>'pü.mérleg Önkorm.'!C42+'pü.mérleg Hivatal'!D43+'püm. GAMESZ. '!C43+püm.Brunszvik!C43+'püm-TASZII.'!C43+'püm Festetics'!C43</f>
        <v>1193985</v>
      </c>
      <c r="D42" s="225">
        <f>'pü.mérleg Önkorm.'!D42+'pü.mérleg Hivatal'!E43+'püm. GAMESZ. '!D43+püm.Brunszvik!D43+'püm-TASZII.'!D43+'püm Festetics'!D43</f>
        <v>160130</v>
      </c>
      <c r="E42" s="225">
        <f>'pü.mérleg Önkorm.'!E42+'pü.mérleg Hivatal'!F43+'püm. GAMESZ. '!E43+püm.Brunszvik!E43+'püm-TASZII.'!E43+'püm Festetics'!E43</f>
        <v>1354115</v>
      </c>
      <c r="F42" s="225"/>
      <c r="G42" s="225"/>
      <c r="H42" s="225">
        <f t="shared" ref="H42:H52" si="15">C42+F42</f>
        <v>1193985</v>
      </c>
      <c r="I42" s="225">
        <f t="shared" ref="I42:I52" si="16">D42+G42</f>
        <v>160130</v>
      </c>
      <c r="J42" s="390">
        <f t="shared" ref="J42:J52" si="17">SUM(H42:I42)</f>
        <v>1354115</v>
      </c>
      <c r="K42" s="225" t="s">
        <v>251</v>
      </c>
      <c r="L42" s="290"/>
      <c r="M42" s="290"/>
      <c r="N42" s="290"/>
      <c r="O42" s="147"/>
      <c r="P42" s="147"/>
      <c r="Q42" s="147"/>
      <c r="R42" s="136"/>
      <c r="S42" s="136"/>
      <c r="T42" s="136"/>
      <c r="U42" s="136"/>
      <c r="V42" s="232"/>
      <c r="W42" s="8"/>
      <c r="X42" s="8"/>
      <c r="Y42" s="8"/>
      <c r="Z42" s="8"/>
      <c r="AA42" s="8"/>
    </row>
    <row r="43" spans="1:27" x14ac:dyDescent="0.2">
      <c r="A43" s="624">
        <f t="shared" si="0"/>
        <v>35</v>
      </c>
      <c r="B43" s="1292" t="s">
        <v>1014</v>
      </c>
      <c r="C43" s="225">
        <f>'püm Festetics'!C44</f>
        <v>0</v>
      </c>
      <c r="D43" s="225">
        <f>'püm Festetics'!D44</f>
        <v>0</v>
      </c>
      <c r="E43" s="225">
        <f>'püm Festetics'!E44</f>
        <v>0</v>
      </c>
      <c r="F43" s="225"/>
      <c r="G43" s="225"/>
      <c r="H43" s="225"/>
      <c r="I43" s="225"/>
      <c r="J43" s="390"/>
      <c r="K43" s="225"/>
      <c r="L43" s="290"/>
      <c r="M43" s="290"/>
      <c r="N43" s="290"/>
      <c r="O43" s="147"/>
      <c r="P43" s="147"/>
      <c r="Q43" s="147"/>
      <c r="R43" s="136"/>
      <c r="S43" s="136"/>
      <c r="T43" s="136"/>
      <c r="U43" s="136"/>
      <c r="V43" s="232"/>
      <c r="W43" s="8"/>
      <c r="X43" s="8"/>
      <c r="Y43" s="8"/>
      <c r="Z43" s="8"/>
      <c r="AA43" s="8"/>
    </row>
    <row r="44" spans="1:27" x14ac:dyDescent="0.2">
      <c r="A44" s="624">
        <f t="shared" si="0"/>
        <v>36</v>
      </c>
      <c r="B44" s="97" t="s">
        <v>225</v>
      </c>
      <c r="C44" s="225"/>
      <c r="D44" s="225"/>
      <c r="E44" s="225"/>
      <c r="F44" s="225"/>
      <c r="G44" s="225"/>
      <c r="H44" s="225"/>
      <c r="I44" s="225"/>
      <c r="J44" s="390"/>
      <c r="K44" s="225" t="s">
        <v>252</v>
      </c>
      <c r="L44" s="290"/>
      <c r="M44" s="290"/>
      <c r="N44" s="232"/>
      <c r="O44" s="147"/>
      <c r="P44" s="147"/>
      <c r="Q44" s="147"/>
      <c r="R44" s="136"/>
      <c r="S44" s="136"/>
      <c r="T44" s="136"/>
      <c r="U44" s="136"/>
      <c r="V44" s="232"/>
      <c r="W44" s="8"/>
      <c r="X44" s="8"/>
      <c r="Y44" s="8"/>
      <c r="Z44" s="8"/>
      <c r="AA44" s="8"/>
    </row>
    <row r="45" spans="1:27" x14ac:dyDescent="0.2">
      <c r="A45" s="624">
        <f t="shared" si="0"/>
        <v>37</v>
      </c>
      <c r="B45" s="97" t="s">
        <v>226</v>
      </c>
      <c r="C45" s="1279"/>
      <c r="D45" s="1279"/>
      <c r="E45" s="1279"/>
      <c r="F45" s="1279"/>
      <c r="G45" s="1279"/>
      <c r="H45" s="225"/>
      <c r="I45" s="225"/>
      <c r="J45" s="390"/>
      <c r="K45" s="1286" t="s">
        <v>253</v>
      </c>
      <c r="L45" s="232">
        <f>'pü.mérleg Önkorm.'!L45</f>
        <v>27693</v>
      </c>
      <c r="M45" s="232">
        <f>'pü.mérleg Önkorm.'!M45</f>
        <v>3751</v>
      </c>
      <c r="N45" s="232">
        <f>'pü.mérleg Önkorm.'!N45</f>
        <v>31444</v>
      </c>
      <c r="O45" s="147"/>
      <c r="P45" s="147"/>
      <c r="Q45" s="147"/>
      <c r="R45" s="136"/>
      <c r="S45" s="136"/>
      <c r="T45" s="136">
        <f>L45+R45</f>
        <v>27693</v>
      </c>
      <c r="U45" s="136">
        <f>M45+S45</f>
        <v>3751</v>
      </c>
      <c r="V45" s="232">
        <f>SUM(T45:U45)</f>
        <v>31444</v>
      </c>
      <c r="W45" s="8"/>
      <c r="X45" s="8"/>
      <c r="Y45" s="8"/>
      <c r="Z45" s="8"/>
      <c r="AA45" s="8"/>
    </row>
    <row r="46" spans="1:27" x14ac:dyDescent="0.2">
      <c r="A46" s="624">
        <f t="shared" si="0"/>
        <v>38</v>
      </c>
      <c r="B46" s="97" t="s">
        <v>227</v>
      </c>
      <c r="C46" s="225"/>
      <c r="D46" s="225"/>
      <c r="E46" s="225"/>
      <c r="F46" s="225"/>
      <c r="G46" s="225"/>
      <c r="H46" s="225"/>
      <c r="I46" s="225"/>
      <c r="J46" s="390"/>
      <c r="K46" s="225" t="s">
        <v>254</v>
      </c>
      <c r="L46" s="232"/>
      <c r="M46" s="232"/>
      <c r="N46" s="232"/>
      <c r="O46" s="147"/>
      <c r="P46" s="147"/>
      <c r="Q46" s="147"/>
      <c r="R46" s="136"/>
      <c r="S46" s="136"/>
      <c r="T46" s="136"/>
      <c r="U46" s="136"/>
      <c r="V46" s="232"/>
      <c r="W46" s="8"/>
      <c r="X46" s="8"/>
      <c r="Y46" s="8"/>
      <c r="Z46" s="8"/>
      <c r="AA46" s="8"/>
    </row>
    <row r="47" spans="1:27" x14ac:dyDescent="0.2">
      <c r="A47" s="624">
        <f t="shared" si="0"/>
        <v>39</v>
      </c>
      <c r="B47" s="1261" t="s">
        <v>228</v>
      </c>
      <c r="C47" s="225"/>
      <c r="D47" s="225"/>
      <c r="E47" s="225"/>
      <c r="F47" s="225"/>
      <c r="G47" s="225"/>
      <c r="H47" s="225"/>
      <c r="I47" s="225"/>
      <c r="J47" s="390"/>
      <c r="K47" s="225" t="s">
        <v>255</v>
      </c>
      <c r="L47" s="232"/>
      <c r="M47" s="232"/>
      <c r="N47" s="232"/>
      <c r="O47" s="147"/>
      <c r="P47" s="147"/>
      <c r="Q47" s="147"/>
      <c r="R47" s="136"/>
      <c r="S47" s="136"/>
      <c r="T47" s="136"/>
      <c r="U47" s="136"/>
      <c r="V47" s="232"/>
      <c r="W47" s="8"/>
      <c r="X47" s="8"/>
      <c r="Y47" s="8"/>
      <c r="Z47" s="8"/>
      <c r="AA47" s="8"/>
    </row>
    <row r="48" spans="1:27" x14ac:dyDescent="0.2">
      <c r="A48" s="624">
        <f t="shared" si="0"/>
        <v>40</v>
      </c>
      <c r="B48" s="1261" t="s">
        <v>229</v>
      </c>
      <c r="C48" s="225"/>
      <c r="D48" s="225"/>
      <c r="E48" s="225"/>
      <c r="F48" s="225"/>
      <c r="G48" s="225"/>
      <c r="H48" s="225"/>
      <c r="I48" s="225"/>
      <c r="J48" s="390"/>
      <c r="K48" s="225" t="s">
        <v>256</v>
      </c>
      <c r="L48" s="232"/>
      <c r="M48" s="232"/>
      <c r="N48" s="232"/>
      <c r="O48" s="147"/>
      <c r="P48" s="147"/>
      <c r="Q48" s="147"/>
      <c r="R48" s="136"/>
      <c r="S48" s="136"/>
      <c r="T48" s="136"/>
      <c r="U48" s="136"/>
      <c r="V48" s="232"/>
      <c r="W48" s="8"/>
      <c r="X48" s="8"/>
      <c r="Y48" s="8"/>
      <c r="Z48" s="8"/>
      <c r="AA48" s="8"/>
    </row>
    <row r="49" spans="1:27" x14ac:dyDescent="0.2">
      <c r="A49" s="624">
        <f t="shared" si="0"/>
        <v>41</v>
      </c>
      <c r="B49" s="97" t="s">
        <v>230</v>
      </c>
      <c r="C49" s="225">
        <f>'pü.mérleg Önkorm.'!C49</f>
        <v>0</v>
      </c>
      <c r="D49" s="225">
        <f>'pü.mérleg Önkorm.'!D49</f>
        <v>0</v>
      </c>
      <c r="E49" s="225">
        <f>SUM(C49:D49)</f>
        <v>0</v>
      </c>
      <c r="F49" s="225"/>
      <c r="G49" s="225"/>
      <c r="H49" s="225"/>
      <c r="I49" s="225"/>
      <c r="J49" s="390"/>
      <c r="K49" s="225" t="s">
        <v>257</v>
      </c>
      <c r="L49" s="232"/>
      <c r="M49" s="232"/>
      <c r="N49" s="232"/>
      <c r="O49" s="147"/>
      <c r="P49" s="147"/>
      <c r="Q49" s="147"/>
      <c r="R49" s="136"/>
      <c r="S49" s="136"/>
      <c r="T49" s="136"/>
      <c r="U49" s="136"/>
      <c r="V49" s="232"/>
      <c r="W49" s="8"/>
      <c r="X49" s="8"/>
      <c r="Y49" s="8"/>
      <c r="Z49" s="8"/>
      <c r="AA49" s="8"/>
    </row>
    <row r="50" spans="1:27" x14ac:dyDescent="0.2">
      <c r="A50" s="624">
        <f t="shared" si="0"/>
        <v>42</v>
      </c>
      <c r="B50" s="97"/>
      <c r="C50" s="225"/>
      <c r="D50" s="225"/>
      <c r="E50" s="225"/>
      <c r="F50" s="225"/>
      <c r="G50" s="225"/>
      <c r="H50" s="225"/>
      <c r="I50" s="225"/>
      <c r="J50" s="390"/>
      <c r="K50" s="225" t="s">
        <v>258</v>
      </c>
      <c r="L50" s="232"/>
      <c r="M50" s="232"/>
      <c r="N50" s="232"/>
      <c r="O50" s="147"/>
      <c r="P50" s="147"/>
      <c r="Q50" s="147"/>
      <c r="R50" s="136"/>
      <c r="S50" s="136"/>
      <c r="T50" s="136"/>
      <c r="U50" s="136"/>
      <c r="V50" s="232"/>
      <c r="W50" s="8"/>
      <c r="X50" s="8"/>
      <c r="Y50" s="8"/>
      <c r="Z50" s="8"/>
      <c r="AA50" s="8"/>
    </row>
    <row r="51" spans="1:27" x14ac:dyDescent="0.2">
      <c r="A51" s="624">
        <f t="shared" si="0"/>
        <v>43</v>
      </c>
      <c r="B51" s="97"/>
      <c r="C51" s="225"/>
      <c r="D51" s="225"/>
      <c r="E51" s="225"/>
      <c r="F51" s="225"/>
      <c r="G51" s="225"/>
      <c r="H51" s="225"/>
      <c r="I51" s="225"/>
      <c r="J51" s="390"/>
      <c r="K51" s="225" t="s">
        <v>259</v>
      </c>
      <c r="L51" s="232"/>
      <c r="M51" s="232"/>
      <c r="N51" s="232"/>
      <c r="O51" s="147"/>
      <c r="P51" s="147"/>
      <c r="Q51" s="147"/>
      <c r="R51" s="136"/>
      <c r="S51" s="136"/>
      <c r="T51" s="136"/>
      <c r="U51" s="136"/>
      <c r="V51" s="232"/>
      <c r="W51" s="8"/>
      <c r="X51" s="8"/>
      <c r="Y51" s="8"/>
      <c r="Z51" s="8"/>
      <c r="AA51" s="8"/>
    </row>
    <row r="52" spans="1:27" ht="12" thickBot="1" x14ac:dyDescent="0.25">
      <c r="A52" s="624">
        <f t="shared" si="0"/>
        <v>44</v>
      </c>
      <c r="B52" s="145" t="s">
        <v>474</v>
      </c>
      <c r="C52" s="1279">
        <f>SUM(C38:C50)</f>
        <v>2437145</v>
      </c>
      <c r="D52" s="1279">
        <f>SUM(D38:D50)</f>
        <v>160130</v>
      </c>
      <c r="E52" s="1279">
        <f>SUM(E38:E50)</f>
        <v>2597275</v>
      </c>
      <c r="F52" s="1279"/>
      <c r="G52" s="1279"/>
      <c r="H52" s="1279">
        <f t="shared" si="15"/>
        <v>2437145</v>
      </c>
      <c r="I52" s="1279">
        <f t="shared" si="16"/>
        <v>160130</v>
      </c>
      <c r="J52" s="422">
        <f t="shared" si="17"/>
        <v>2597275</v>
      </c>
      <c r="K52" s="1279" t="s">
        <v>467</v>
      </c>
      <c r="L52" s="290">
        <f>SUM(L38:L51)</f>
        <v>27693</v>
      </c>
      <c r="M52" s="290">
        <f>SUM(M38:M51)</f>
        <v>3751</v>
      </c>
      <c r="N52" s="290">
        <f>SUM(N38:N51)</f>
        <v>31444</v>
      </c>
      <c r="O52" s="147"/>
      <c r="P52" s="147"/>
      <c r="Q52" s="147"/>
      <c r="R52" s="140"/>
      <c r="S52" s="140"/>
      <c r="T52" s="140">
        <f>SUM(T45:T51)</f>
        <v>27693</v>
      </c>
      <c r="U52" s="140">
        <f t="shared" ref="U52:V52" si="18">SUM(U45:U51)</f>
        <v>3751</v>
      </c>
      <c r="V52" s="140">
        <f t="shared" si="18"/>
        <v>31444</v>
      </c>
      <c r="W52" s="8"/>
      <c r="X52" s="8"/>
      <c r="Y52" s="8"/>
      <c r="Z52" s="8"/>
      <c r="AA52" s="8"/>
    </row>
    <row r="53" spans="1:27" ht="12" thickBot="1" x14ac:dyDescent="0.25">
      <c r="A53" s="1061">
        <f t="shared" si="0"/>
        <v>45</v>
      </c>
      <c r="B53" s="1062" t="s">
        <v>469</v>
      </c>
      <c r="C53" s="669">
        <f>C33+C52</f>
        <v>3898718</v>
      </c>
      <c r="D53" s="669">
        <f>D33+D52</f>
        <v>1142464</v>
      </c>
      <c r="E53" s="1063">
        <f>E33+E52</f>
        <v>5041182</v>
      </c>
      <c r="F53" s="1063">
        <f>F52+F33</f>
        <v>-68514</v>
      </c>
      <c r="G53" s="1063">
        <f t="shared" ref="G53:J53" si="19">G52+G33</f>
        <v>255609</v>
      </c>
      <c r="H53" s="1063">
        <f t="shared" si="19"/>
        <v>3830204</v>
      </c>
      <c r="I53" s="1063">
        <f t="shared" si="19"/>
        <v>1398073</v>
      </c>
      <c r="J53" s="1063">
        <f t="shared" si="19"/>
        <v>5228277</v>
      </c>
      <c r="K53" s="1275" t="s">
        <v>468</v>
      </c>
      <c r="L53" s="669">
        <f>L33+L52</f>
        <v>3898718</v>
      </c>
      <c r="M53" s="669">
        <f>M33+M52</f>
        <v>1142464.32</v>
      </c>
      <c r="N53" s="1063">
        <f>N33+N52</f>
        <v>5041182.32</v>
      </c>
      <c r="O53" s="1293"/>
      <c r="P53" s="1293"/>
      <c r="Q53" s="1293"/>
      <c r="R53" s="164">
        <f>R33+R52</f>
        <v>-68514</v>
      </c>
      <c r="S53" s="164">
        <f>S33+S52</f>
        <v>255609</v>
      </c>
      <c r="T53" s="164">
        <f t="shared" ref="T53:V53" si="20">T33+T52</f>
        <v>3830204</v>
      </c>
      <c r="U53" s="164">
        <f t="shared" si="20"/>
        <v>1398073.32</v>
      </c>
      <c r="V53" s="164">
        <f t="shared" si="20"/>
        <v>5228277.32</v>
      </c>
      <c r="W53" s="8"/>
      <c r="X53" s="8"/>
      <c r="Y53" s="8"/>
      <c r="Z53" s="8"/>
      <c r="AA53" s="8"/>
    </row>
    <row r="54" spans="1:27" x14ac:dyDescent="0.2">
      <c r="B54" s="150"/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Y54" s="8"/>
      <c r="Z54" s="8"/>
      <c r="AA54" s="8"/>
    </row>
    <row r="55" spans="1:27" s="9" customFormat="1" ht="12.75" x14ac:dyDescent="0.2">
      <c r="A55" s="150"/>
      <c r="B55" s="145"/>
      <c r="C55" s="149"/>
      <c r="D55" s="149"/>
      <c r="E55" s="373">
        <f>E53-N53</f>
        <v>-0.32000000029802322</v>
      </c>
      <c r="F55" s="373"/>
      <c r="G55" s="373"/>
      <c r="H55" s="373"/>
      <c r="I55" s="373"/>
      <c r="J55" s="373"/>
      <c r="K55" s="149"/>
      <c r="L55" s="149"/>
      <c r="M55" s="149"/>
      <c r="N55" s="149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</row>
  </sheetData>
  <sheetProtection selectLockedCells="1" selectUnlockedCells="1"/>
  <mergeCells count="15">
    <mergeCell ref="A4:V4"/>
    <mergeCell ref="A1:V1"/>
    <mergeCell ref="A5:V5"/>
    <mergeCell ref="R7:S7"/>
    <mergeCell ref="T7:V7"/>
    <mergeCell ref="L6:V6"/>
    <mergeCell ref="C7:E7"/>
    <mergeCell ref="L7:N7"/>
    <mergeCell ref="A6:A8"/>
    <mergeCell ref="B6:B7"/>
    <mergeCell ref="K6:K7"/>
    <mergeCell ref="F7:G7"/>
    <mergeCell ref="C6:J6"/>
    <mergeCell ref="H7:J7"/>
    <mergeCell ref="A3:V3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5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63"/>
  <sheetViews>
    <sheetView topLeftCell="B1" workbookViewId="0">
      <selection activeCell="P14" sqref="P14"/>
    </sheetView>
  </sheetViews>
  <sheetFormatPr defaultColWidth="9.140625" defaultRowHeight="12" x14ac:dyDescent="0.2"/>
  <cols>
    <col min="1" max="1" width="3.7109375" style="122" hidden="1" customWidth="1"/>
    <col min="2" max="2" width="5.7109375" style="125" customWidth="1"/>
    <col min="3" max="3" width="53" style="121" customWidth="1"/>
    <col min="4" max="4" width="9" style="120" customWidth="1"/>
    <col min="5" max="5" width="9.140625" style="120"/>
    <col min="6" max="6" width="9.7109375" style="120" customWidth="1"/>
    <col min="7" max="16384" width="9.140625" style="11"/>
  </cols>
  <sheetData>
    <row r="1" spans="1:11" x14ac:dyDescent="0.2">
      <c r="B1" s="1362" t="s">
        <v>1233</v>
      </c>
      <c r="C1" s="1362"/>
      <c r="D1" s="1362"/>
      <c r="E1" s="1362"/>
      <c r="F1" s="1362"/>
    </row>
    <row r="2" spans="1:11" x14ac:dyDescent="0.2">
      <c r="B2" s="234"/>
      <c r="C2" s="234"/>
      <c r="D2" s="234"/>
      <c r="E2" s="234"/>
      <c r="F2" s="234"/>
    </row>
    <row r="3" spans="1:11" x14ac:dyDescent="0.2">
      <c r="B3" s="1368" t="s">
        <v>488</v>
      </c>
      <c r="C3" s="1369"/>
      <c r="D3" s="1369"/>
      <c r="E3" s="1369"/>
      <c r="F3" s="1369"/>
    </row>
    <row r="4" spans="1:11" x14ac:dyDescent="0.2">
      <c r="B4" s="1369" t="s">
        <v>1164</v>
      </c>
      <c r="C4" s="1369"/>
      <c r="D4" s="1369"/>
      <c r="E4" s="1370"/>
      <c r="F4" s="1370"/>
    </row>
    <row r="5" spans="1:11" x14ac:dyDescent="0.2">
      <c r="B5" s="119"/>
      <c r="C5" s="119"/>
      <c r="D5" s="119"/>
      <c r="E5" s="235"/>
      <c r="F5" s="235"/>
    </row>
    <row r="6" spans="1:11" x14ac:dyDescent="0.2">
      <c r="B6" s="119"/>
      <c r="C6" s="119"/>
      <c r="D6" s="119"/>
      <c r="E6" s="235"/>
      <c r="F6" s="235"/>
    </row>
    <row r="7" spans="1:11" ht="12.75" x14ac:dyDescent="0.2">
      <c r="B7" s="119"/>
      <c r="C7" s="1363" t="s">
        <v>321</v>
      </c>
      <c r="D7" s="1364"/>
      <c r="E7" s="1364"/>
      <c r="F7" s="1364"/>
    </row>
    <row r="8" spans="1:11" ht="19.149999999999999" customHeight="1" x14ac:dyDescent="0.2">
      <c r="B8" s="1365" t="s">
        <v>77</v>
      </c>
      <c r="C8" s="1366" t="s">
        <v>86</v>
      </c>
      <c r="D8" s="1367" t="s">
        <v>1125</v>
      </c>
      <c r="E8" s="1367"/>
      <c r="F8" s="1367"/>
      <c r="G8" s="1303" t="s">
        <v>1246</v>
      </c>
      <c r="H8" s="1303"/>
      <c r="I8" s="1303" t="s">
        <v>1246</v>
      </c>
      <c r="J8" s="1303"/>
      <c r="K8" s="1303"/>
    </row>
    <row r="9" spans="1:11" s="6" customFormat="1" ht="42.75" customHeight="1" x14ac:dyDescent="0.2">
      <c r="A9" s="123"/>
      <c r="B9" s="1365"/>
      <c r="C9" s="1366"/>
      <c r="D9" s="749" t="s">
        <v>62</v>
      </c>
      <c r="E9" s="749" t="s">
        <v>63</v>
      </c>
      <c r="F9" s="749" t="s">
        <v>64</v>
      </c>
      <c r="G9" s="753" t="s">
        <v>62</v>
      </c>
      <c r="H9" s="753" t="s">
        <v>63</v>
      </c>
      <c r="I9" s="753" t="s">
        <v>62</v>
      </c>
      <c r="J9" s="753" t="s">
        <v>63</v>
      </c>
      <c r="K9" s="753" t="s">
        <v>64</v>
      </c>
    </row>
    <row r="10" spans="1:11" ht="14.25" customHeight="1" x14ac:dyDescent="0.2">
      <c r="B10" s="1226" t="s">
        <v>508</v>
      </c>
      <c r="C10" s="1227" t="s">
        <v>460</v>
      </c>
      <c r="D10" s="1228"/>
      <c r="E10" s="1229"/>
      <c r="F10" s="1229"/>
      <c r="G10" s="1230"/>
      <c r="H10" s="1230"/>
      <c r="I10" s="1230"/>
      <c r="J10" s="1230"/>
      <c r="K10" s="1230"/>
    </row>
    <row r="11" spans="1:11" ht="28.9" customHeight="1" x14ac:dyDescent="0.2">
      <c r="B11" s="1231" t="s">
        <v>516</v>
      </c>
      <c r="C11" s="1232" t="s">
        <v>480</v>
      </c>
      <c r="D11" s="1233"/>
      <c r="E11" s="1233"/>
      <c r="F11" s="1233"/>
      <c r="G11" s="1230"/>
      <c r="H11" s="1230"/>
      <c r="I11" s="1230"/>
      <c r="J11" s="1230"/>
      <c r="K11" s="1230"/>
    </row>
    <row r="12" spans="1:11" x14ac:dyDescent="0.2">
      <c r="B12" s="1226" t="s">
        <v>517</v>
      </c>
      <c r="C12" s="1234" t="s">
        <v>461</v>
      </c>
      <c r="D12" s="1229"/>
      <c r="E12" s="1229"/>
      <c r="F12" s="1229"/>
      <c r="G12" s="1230"/>
      <c r="H12" s="1230"/>
      <c r="I12" s="1230"/>
      <c r="J12" s="1230"/>
      <c r="K12" s="1230"/>
    </row>
    <row r="13" spans="1:11" x14ac:dyDescent="0.2">
      <c r="B13" s="1226" t="s">
        <v>518</v>
      </c>
      <c r="C13" s="1234" t="s">
        <v>1119</v>
      </c>
      <c r="D13" s="1229"/>
      <c r="E13" s="1229">
        <v>17000</v>
      </c>
      <c r="F13" s="1229">
        <f t="shared" ref="F13:F20" si="0">SUM(D13:E13)</f>
        <v>17000</v>
      </c>
      <c r="G13" s="1230"/>
      <c r="H13" s="1230"/>
      <c r="I13" s="1230"/>
      <c r="J13" s="1230"/>
      <c r="K13" s="1230"/>
    </row>
    <row r="14" spans="1:11" x14ac:dyDescent="0.2">
      <c r="B14" s="1226" t="s">
        <v>519</v>
      </c>
      <c r="C14" s="1234" t="s">
        <v>1118</v>
      </c>
      <c r="D14" s="1229"/>
      <c r="E14" s="1229">
        <v>22000</v>
      </c>
      <c r="F14" s="1229">
        <f t="shared" si="0"/>
        <v>22000</v>
      </c>
      <c r="G14" s="1230"/>
      <c r="H14" s="1230"/>
      <c r="I14" s="1230"/>
      <c r="J14" s="1230"/>
      <c r="K14" s="1230"/>
    </row>
    <row r="15" spans="1:11" x14ac:dyDescent="0.2">
      <c r="B15" s="1226" t="s">
        <v>520</v>
      </c>
      <c r="C15" s="1234" t="s">
        <v>955</v>
      </c>
      <c r="D15" s="1229">
        <v>0</v>
      </c>
      <c r="E15" s="1229"/>
      <c r="F15" s="1229">
        <f t="shared" si="0"/>
        <v>0</v>
      </c>
      <c r="G15" s="1230"/>
      <c r="H15" s="1230"/>
      <c r="I15" s="1230"/>
      <c r="J15" s="1230"/>
      <c r="K15" s="1230"/>
    </row>
    <row r="16" spans="1:11" x14ac:dyDescent="0.2">
      <c r="B16" s="1226" t="s">
        <v>521</v>
      </c>
      <c r="C16" s="1234" t="s">
        <v>462</v>
      </c>
      <c r="D16" s="1229">
        <v>4500</v>
      </c>
      <c r="E16" s="1229"/>
      <c r="F16" s="1229">
        <f t="shared" si="0"/>
        <v>4500</v>
      </c>
      <c r="G16" s="1230"/>
      <c r="H16" s="1230"/>
      <c r="I16" s="1230"/>
      <c r="J16" s="1230"/>
      <c r="K16" s="1230"/>
    </row>
    <row r="17" spans="1:11" x14ac:dyDescent="0.2">
      <c r="B17" s="1226" t="s">
        <v>522</v>
      </c>
      <c r="C17" s="1235" t="s">
        <v>463</v>
      </c>
      <c r="D17" s="1229">
        <v>2000</v>
      </c>
      <c r="E17" s="1229"/>
      <c r="F17" s="1229">
        <f t="shared" si="0"/>
        <v>2000</v>
      </c>
      <c r="G17" s="1230"/>
      <c r="H17" s="1230"/>
      <c r="I17" s="1230"/>
      <c r="J17" s="1230"/>
      <c r="K17" s="1230"/>
    </row>
    <row r="18" spans="1:11" ht="13.5" customHeight="1" x14ac:dyDescent="0.2">
      <c r="B18" s="1226" t="s">
        <v>523</v>
      </c>
      <c r="C18" s="1235" t="s">
        <v>496</v>
      </c>
      <c r="D18" s="1229">
        <v>1250</v>
      </c>
      <c r="E18" s="1229"/>
      <c r="F18" s="1229">
        <f t="shared" si="0"/>
        <v>1250</v>
      </c>
      <c r="G18" s="1230"/>
      <c r="H18" s="1230"/>
      <c r="I18" s="1230"/>
      <c r="J18" s="1230"/>
      <c r="K18" s="1230"/>
    </row>
    <row r="19" spans="1:11" ht="13.5" customHeight="1" x14ac:dyDescent="0.2">
      <c r="B19" s="1226" t="s">
        <v>565</v>
      </c>
      <c r="C19" s="1236" t="s">
        <v>328</v>
      </c>
      <c r="D19" s="1237"/>
      <c r="E19" s="1237">
        <v>50</v>
      </c>
      <c r="F19" s="1237">
        <f t="shared" si="0"/>
        <v>50</v>
      </c>
      <c r="G19" s="1230"/>
      <c r="H19" s="1230"/>
      <c r="I19" s="1230"/>
      <c r="J19" s="1230"/>
      <c r="K19" s="1230"/>
    </row>
    <row r="20" spans="1:11" ht="13.5" customHeight="1" x14ac:dyDescent="0.2">
      <c r="B20" s="1226" t="s">
        <v>566</v>
      </c>
      <c r="C20" s="1236" t="s">
        <v>1154</v>
      </c>
      <c r="D20" s="1237"/>
      <c r="E20" s="1237">
        <v>1112</v>
      </c>
      <c r="F20" s="1237">
        <f t="shared" si="0"/>
        <v>1112</v>
      </c>
      <c r="G20" s="1230"/>
      <c r="H20" s="1230"/>
      <c r="I20" s="1230"/>
      <c r="J20" s="1230"/>
      <c r="K20" s="1230"/>
    </row>
    <row r="21" spans="1:11" ht="15" customHeight="1" x14ac:dyDescent="0.2">
      <c r="B21" s="1226" t="s">
        <v>567</v>
      </c>
      <c r="C21" s="1238" t="s">
        <v>481</v>
      </c>
      <c r="D21" s="1239">
        <f>SUM(D13:D20)</f>
        <v>7750</v>
      </c>
      <c r="E21" s="1239">
        <f t="shared" ref="E21:F21" si="1">SUM(E13:E20)</f>
        <v>40162</v>
      </c>
      <c r="F21" s="1239">
        <f t="shared" si="1"/>
        <v>47912</v>
      </c>
      <c r="G21" s="1230"/>
      <c r="H21" s="1230"/>
      <c r="I21" s="1230"/>
      <c r="J21" s="1230"/>
      <c r="K21" s="1230"/>
    </row>
    <row r="22" spans="1:11" x14ac:dyDescent="0.2">
      <c r="B22" s="1226" t="s">
        <v>568</v>
      </c>
      <c r="C22" s="1234"/>
      <c r="D22" s="1229"/>
      <c r="E22" s="1229"/>
      <c r="F22" s="1229"/>
      <c r="G22" s="1230"/>
      <c r="H22" s="1230"/>
      <c r="I22" s="1230"/>
      <c r="J22" s="1230"/>
      <c r="K22" s="1230"/>
    </row>
    <row r="23" spans="1:11" x14ac:dyDescent="0.2">
      <c r="B23" s="1226" t="s">
        <v>569</v>
      </c>
      <c r="C23" s="1238" t="s">
        <v>482</v>
      </c>
      <c r="D23" s="1229"/>
      <c r="E23" s="1229"/>
      <c r="F23" s="1229"/>
      <c r="G23" s="1230"/>
      <c r="H23" s="1230"/>
      <c r="I23" s="1230"/>
      <c r="J23" s="1230"/>
      <c r="K23" s="1230"/>
    </row>
    <row r="24" spans="1:11" s="6" customFormat="1" ht="15.6" customHeight="1" x14ac:dyDescent="0.2">
      <c r="A24" s="123"/>
      <c r="B24" s="1226" t="s">
        <v>570</v>
      </c>
      <c r="C24" s="1235" t="s">
        <v>497</v>
      </c>
      <c r="D24" s="1229">
        <v>103258</v>
      </c>
      <c r="E24" s="1229"/>
      <c r="F24" s="1229">
        <f>D24</f>
        <v>103258</v>
      </c>
      <c r="G24" s="1205"/>
      <c r="H24" s="1205"/>
      <c r="I24" s="1205"/>
      <c r="J24" s="1205"/>
      <c r="K24" s="1205"/>
    </row>
    <row r="25" spans="1:11" s="6" customFormat="1" ht="12" customHeight="1" x14ac:dyDescent="0.2">
      <c r="A25" s="123"/>
      <c r="B25" s="1226" t="s">
        <v>571</v>
      </c>
      <c r="C25" s="1235" t="s">
        <v>333</v>
      </c>
      <c r="D25" s="1229">
        <v>12627</v>
      </c>
      <c r="E25" s="1229"/>
      <c r="F25" s="1229">
        <f t="shared" ref="F25:F30" si="2">SUM(D25:E25)</f>
        <v>12627</v>
      </c>
      <c r="G25" s="1205"/>
      <c r="H25" s="1205"/>
      <c r="I25" s="1205"/>
      <c r="J25" s="1205"/>
      <c r="K25" s="1205"/>
    </row>
    <row r="26" spans="1:11" s="6" customFormat="1" ht="12" customHeight="1" x14ac:dyDescent="0.2">
      <c r="A26" s="123"/>
      <c r="B26" s="1226" t="s">
        <v>572</v>
      </c>
      <c r="C26" s="1235" t="s">
        <v>1028</v>
      </c>
      <c r="D26" s="1229"/>
      <c r="E26" s="1229"/>
      <c r="F26" s="1229">
        <f t="shared" si="2"/>
        <v>0</v>
      </c>
      <c r="G26" s="1205"/>
      <c r="H26" s="1205"/>
      <c r="I26" s="1205"/>
      <c r="J26" s="1205"/>
      <c r="K26" s="1205"/>
    </row>
    <row r="27" spans="1:11" s="6" customFormat="1" x14ac:dyDescent="0.2">
      <c r="A27" s="123"/>
      <c r="B27" s="1226" t="s">
        <v>574</v>
      </c>
      <c r="C27" s="1234" t="s">
        <v>1176</v>
      </c>
      <c r="D27" s="1229">
        <v>19500</v>
      </c>
      <c r="E27" s="1229"/>
      <c r="F27" s="1229">
        <f t="shared" si="2"/>
        <v>19500</v>
      </c>
      <c r="G27" s="1205"/>
      <c r="H27" s="1205"/>
      <c r="I27" s="1205"/>
      <c r="J27" s="1205"/>
      <c r="K27" s="1205"/>
    </row>
    <row r="28" spans="1:11" s="6" customFormat="1" x14ac:dyDescent="0.2">
      <c r="A28" s="123"/>
      <c r="B28" s="1226" t="s">
        <v>575</v>
      </c>
      <c r="C28" s="1234" t="s">
        <v>331</v>
      </c>
      <c r="D28" s="1229">
        <v>75000</v>
      </c>
      <c r="E28" s="1229"/>
      <c r="F28" s="1229">
        <f t="shared" si="2"/>
        <v>75000</v>
      </c>
      <c r="G28" s="1205"/>
      <c r="H28" s="1205"/>
      <c r="I28" s="1205"/>
      <c r="J28" s="1205"/>
      <c r="K28" s="1205"/>
    </row>
    <row r="29" spans="1:11" s="6" customFormat="1" x14ac:dyDescent="0.2">
      <c r="A29" s="123"/>
      <c r="B29" s="1226" t="s">
        <v>576</v>
      </c>
      <c r="C29" s="1234" t="s">
        <v>1172</v>
      </c>
      <c r="D29" s="1229">
        <v>5000</v>
      </c>
      <c r="E29" s="1229"/>
      <c r="F29" s="1229">
        <f t="shared" si="2"/>
        <v>5000</v>
      </c>
      <c r="G29" s="1205"/>
      <c r="H29" s="1205"/>
      <c r="I29" s="1205"/>
      <c r="J29" s="1205"/>
      <c r="K29" s="1205"/>
    </row>
    <row r="30" spans="1:11" s="6" customFormat="1" x14ac:dyDescent="0.2">
      <c r="A30" s="123"/>
      <c r="B30" s="1226" t="s">
        <v>577</v>
      </c>
      <c r="C30" s="1234" t="s">
        <v>72</v>
      </c>
      <c r="D30" s="1229">
        <v>50000</v>
      </c>
      <c r="E30" s="1229"/>
      <c r="F30" s="1229">
        <f t="shared" si="2"/>
        <v>50000</v>
      </c>
      <c r="G30" s="1205"/>
      <c r="H30" s="1205"/>
      <c r="I30" s="1205"/>
      <c r="J30" s="1205"/>
      <c r="K30" s="1205"/>
    </row>
    <row r="31" spans="1:11" s="6" customFormat="1" x14ac:dyDescent="0.2">
      <c r="A31" s="123"/>
      <c r="B31" s="1226" t="s">
        <v>579</v>
      </c>
      <c r="C31" s="813" t="s">
        <v>193</v>
      </c>
      <c r="D31" s="1233"/>
      <c r="E31" s="1233">
        <v>3500</v>
      </c>
      <c r="F31" s="1233">
        <f>D31+E31</f>
        <v>3500</v>
      </c>
      <c r="G31" s="1205"/>
      <c r="H31" s="1205"/>
      <c r="I31" s="1205"/>
      <c r="J31" s="1205"/>
      <c r="K31" s="1205"/>
    </row>
    <row r="32" spans="1:11" s="6" customFormat="1" x14ac:dyDescent="0.2">
      <c r="A32" s="123"/>
      <c r="B32" s="1226" t="s">
        <v>580</v>
      </c>
      <c r="C32" s="813" t="s">
        <v>332</v>
      </c>
      <c r="D32" s="1233"/>
      <c r="E32" s="1233">
        <v>3500</v>
      </c>
      <c r="F32" s="1233">
        <f>D32+E32</f>
        <v>3500</v>
      </c>
      <c r="G32" s="1205"/>
      <c r="H32" s="1205"/>
      <c r="I32" s="1205"/>
      <c r="J32" s="1205"/>
      <c r="K32" s="1205"/>
    </row>
    <row r="33" spans="1:11" s="6" customFormat="1" x14ac:dyDescent="0.2">
      <c r="A33" s="123"/>
      <c r="B33" s="1226" t="s">
        <v>581</v>
      </c>
      <c r="C33" s="813" t="s">
        <v>334</v>
      </c>
      <c r="D33" s="1233"/>
      <c r="E33" s="1233">
        <v>310</v>
      </c>
      <c r="F33" s="1233">
        <f>D33+E33</f>
        <v>310</v>
      </c>
      <c r="G33" s="1205"/>
      <c r="H33" s="1205"/>
      <c r="I33" s="1205"/>
      <c r="J33" s="1205"/>
      <c r="K33" s="1205"/>
    </row>
    <row r="34" spans="1:11" s="6" customFormat="1" x14ac:dyDescent="0.2">
      <c r="A34" s="123"/>
      <c r="B34" s="1226" t="s">
        <v>601</v>
      </c>
      <c r="C34" s="1234" t="s">
        <v>335</v>
      </c>
      <c r="D34" s="1233"/>
      <c r="E34" s="1233">
        <v>1500</v>
      </c>
      <c r="F34" s="1233">
        <f>E34</f>
        <v>1500</v>
      </c>
      <c r="G34" s="1205"/>
      <c r="H34" s="1205"/>
      <c r="I34" s="1205"/>
      <c r="J34" s="1205"/>
      <c r="K34" s="1205"/>
    </row>
    <row r="35" spans="1:11" s="6" customFormat="1" x14ac:dyDescent="0.2">
      <c r="A35" s="123"/>
      <c r="B35" s="1226" t="s">
        <v>602</v>
      </c>
      <c r="C35" s="1234" t="s">
        <v>181</v>
      </c>
      <c r="D35" s="1233"/>
      <c r="E35" s="1233">
        <v>1000</v>
      </c>
      <c r="F35" s="1233">
        <v>1000</v>
      </c>
      <c r="G35" s="1205"/>
      <c r="H35" s="1205"/>
      <c r="I35" s="1205"/>
      <c r="J35" s="1205"/>
      <c r="K35" s="1205"/>
    </row>
    <row r="36" spans="1:11" s="6" customFormat="1" x14ac:dyDescent="0.2">
      <c r="A36" s="123"/>
      <c r="B36" s="1226"/>
      <c r="C36" s="1234"/>
      <c r="D36" s="1233"/>
      <c r="E36" s="1233"/>
      <c r="F36" s="1233"/>
      <c r="G36" s="1205"/>
      <c r="H36" s="1205"/>
      <c r="I36" s="1205"/>
      <c r="J36" s="1205"/>
      <c r="K36" s="1205"/>
    </row>
    <row r="37" spans="1:11" s="6" customFormat="1" x14ac:dyDescent="0.2">
      <c r="A37" s="123"/>
      <c r="B37" s="1226" t="s">
        <v>603</v>
      </c>
      <c r="C37" s="1234" t="s">
        <v>182</v>
      </c>
      <c r="D37" s="1233"/>
      <c r="E37" s="1233">
        <v>300</v>
      </c>
      <c r="F37" s="1233">
        <f t="shared" ref="F37:F50" si="3">D37+E37</f>
        <v>300</v>
      </c>
      <c r="G37" s="1205"/>
      <c r="H37" s="1205"/>
      <c r="I37" s="1205"/>
      <c r="J37" s="1205"/>
      <c r="K37" s="1205"/>
    </row>
    <row r="38" spans="1:11" s="6" customFormat="1" x14ac:dyDescent="0.2">
      <c r="A38" s="123"/>
      <c r="B38" s="1226" t="s">
        <v>604</v>
      </c>
      <c r="C38" s="1234" t="s">
        <v>183</v>
      </c>
      <c r="D38" s="1233"/>
      <c r="E38" s="1233">
        <v>2000</v>
      </c>
      <c r="F38" s="1233">
        <f t="shared" si="3"/>
        <v>2000</v>
      </c>
      <c r="G38" s="1205"/>
      <c r="H38" s="1205"/>
      <c r="I38" s="1205"/>
      <c r="J38" s="1205"/>
      <c r="K38" s="1205"/>
    </row>
    <row r="39" spans="1:11" s="6" customFormat="1" x14ac:dyDescent="0.2">
      <c r="A39" s="123"/>
      <c r="B39" s="1226" t="s">
        <v>605</v>
      </c>
      <c r="C39" s="1234" t="s">
        <v>304</v>
      </c>
      <c r="D39" s="1233"/>
      <c r="E39" s="1233">
        <v>1000</v>
      </c>
      <c r="F39" s="1233">
        <f t="shared" si="3"/>
        <v>1000</v>
      </c>
      <c r="G39" s="1205"/>
      <c r="H39" s="1205"/>
      <c r="I39" s="1205"/>
      <c r="J39" s="1205"/>
      <c r="K39" s="1205"/>
    </row>
    <row r="40" spans="1:11" s="6" customFormat="1" x14ac:dyDescent="0.2">
      <c r="A40" s="123"/>
      <c r="B40" s="1226" t="s">
        <v>606</v>
      </c>
      <c r="C40" s="1234" t="s">
        <v>305</v>
      </c>
      <c r="D40" s="1233"/>
      <c r="E40" s="1233">
        <v>2000</v>
      </c>
      <c r="F40" s="1233">
        <f t="shared" si="3"/>
        <v>2000</v>
      </c>
      <c r="G40" s="1205"/>
      <c r="H40" s="1205"/>
      <c r="I40" s="1205"/>
      <c r="J40" s="1205"/>
      <c r="K40" s="1205"/>
    </row>
    <row r="41" spans="1:11" s="6" customFormat="1" x14ac:dyDescent="0.2">
      <c r="A41" s="123"/>
      <c r="B41" s="1226" t="s">
        <v>607</v>
      </c>
      <c r="C41" s="1234" t="s">
        <v>989</v>
      </c>
      <c r="D41" s="1233"/>
      <c r="E41" s="1233">
        <v>1000</v>
      </c>
      <c r="F41" s="1233">
        <f t="shared" si="3"/>
        <v>1000</v>
      </c>
      <c r="G41" s="1205"/>
      <c r="H41" s="1205"/>
      <c r="I41" s="1205"/>
      <c r="J41" s="1205"/>
      <c r="K41" s="1205"/>
    </row>
    <row r="42" spans="1:11" s="6" customFormat="1" x14ac:dyDescent="0.2">
      <c r="A42" s="123"/>
      <c r="B42" s="1226" t="s">
        <v>608</v>
      </c>
      <c r="C42" s="1234" t="s">
        <v>990</v>
      </c>
      <c r="D42" s="1233"/>
      <c r="E42" s="1233">
        <v>400</v>
      </c>
      <c r="F42" s="1233">
        <f t="shared" si="3"/>
        <v>400</v>
      </c>
      <c r="G42" s="1205"/>
      <c r="H42" s="1205"/>
      <c r="I42" s="1205"/>
      <c r="J42" s="1205"/>
      <c r="K42" s="1205"/>
    </row>
    <row r="43" spans="1:11" s="6" customFormat="1" x14ac:dyDescent="0.2">
      <c r="A43" s="123"/>
      <c r="B43" s="1226" t="s">
        <v>609</v>
      </c>
      <c r="C43" s="1234" t="s">
        <v>1024</v>
      </c>
      <c r="D43" s="1233"/>
      <c r="E43" s="1233">
        <v>100</v>
      </c>
      <c r="F43" s="1233">
        <f t="shared" si="3"/>
        <v>100</v>
      </c>
      <c r="G43" s="1205"/>
      <c r="H43" s="1205"/>
      <c r="I43" s="1205"/>
      <c r="J43" s="1205"/>
      <c r="K43" s="1205"/>
    </row>
    <row r="44" spans="1:11" s="6" customFormat="1" ht="12.75" customHeight="1" x14ac:dyDescent="0.2">
      <c r="A44" s="123"/>
      <c r="B44" s="1226" t="s">
        <v>664</v>
      </c>
      <c r="C44" s="1234" t="s">
        <v>1175</v>
      </c>
      <c r="D44" s="1233"/>
      <c r="E44" s="1233">
        <v>900</v>
      </c>
      <c r="F44" s="1233">
        <f t="shared" si="3"/>
        <v>900</v>
      </c>
      <c r="G44" s="1205"/>
      <c r="H44" s="1205"/>
      <c r="I44" s="1205"/>
      <c r="J44" s="1205"/>
      <c r="K44" s="1205"/>
    </row>
    <row r="45" spans="1:11" s="6" customFormat="1" x14ac:dyDescent="0.2">
      <c r="A45" s="123"/>
      <c r="B45" s="1226" t="s">
        <v>665</v>
      </c>
      <c r="C45" s="1234" t="s">
        <v>1025</v>
      </c>
      <c r="D45" s="1233"/>
      <c r="E45" s="1233">
        <v>100</v>
      </c>
      <c r="F45" s="1233">
        <f t="shared" si="3"/>
        <v>100</v>
      </c>
      <c r="G45" s="1205"/>
      <c r="H45" s="1205"/>
      <c r="I45" s="1205"/>
      <c r="J45" s="1205"/>
      <c r="K45" s="1205"/>
    </row>
    <row r="46" spans="1:11" s="6" customFormat="1" x14ac:dyDescent="0.2">
      <c r="A46" s="123"/>
      <c r="B46" s="1226" t="s">
        <v>666</v>
      </c>
      <c r="C46" s="1240" t="s">
        <v>1026</v>
      </c>
      <c r="D46" s="1241"/>
      <c r="E46" s="1241">
        <v>50</v>
      </c>
      <c r="F46" s="1241">
        <f t="shared" si="3"/>
        <v>50</v>
      </c>
      <c r="G46" s="1205"/>
      <c r="H46" s="1205"/>
      <c r="I46" s="1205"/>
      <c r="J46" s="1205"/>
      <c r="K46" s="1205"/>
    </row>
    <row r="47" spans="1:11" s="6" customFormat="1" x14ac:dyDescent="0.2">
      <c r="A47" s="123"/>
      <c r="B47" s="1226" t="s">
        <v>667</v>
      </c>
      <c r="C47" s="1240" t="s">
        <v>1027</v>
      </c>
      <c r="D47" s="1241"/>
      <c r="E47" s="1241">
        <v>821</v>
      </c>
      <c r="F47" s="1241">
        <f t="shared" si="3"/>
        <v>821</v>
      </c>
      <c r="G47" s="1205"/>
      <c r="H47" s="1205"/>
      <c r="I47" s="1205"/>
      <c r="J47" s="1205"/>
      <c r="K47" s="1205"/>
    </row>
    <row r="48" spans="1:11" s="6" customFormat="1" x14ac:dyDescent="0.2">
      <c r="A48" s="123"/>
      <c r="B48" s="1226" t="s">
        <v>125</v>
      </c>
      <c r="C48" s="1240" t="s">
        <v>1173</v>
      </c>
      <c r="D48" s="1241"/>
      <c r="E48" s="1241">
        <v>50</v>
      </c>
      <c r="F48" s="1241">
        <f t="shared" si="3"/>
        <v>50</v>
      </c>
      <c r="G48" s="1205"/>
      <c r="H48" s="1205"/>
      <c r="I48" s="1205"/>
      <c r="J48" s="1205"/>
      <c r="K48" s="1205"/>
    </row>
    <row r="49" spans="1:11" s="6" customFormat="1" ht="24" x14ac:dyDescent="0.2">
      <c r="A49" s="123"/>
      <c r="B49" s="1231" t="s">
        <v>693</v>
      </c>
      <c r="C49" s="1240" t="s">
        <v>1174</v>
      </c>
      <c r="D49" s="1241"/>
      <c r="E49" s="1241">
        <v>150</v>
      </c>
      <c r="F49" s="1241">
        <f t="shared" si="3"/>
        <v>150</v>
      </c>
      <c r="G49" s="1205"/>
      <c r="H49" s="1205"/>
      <c r="I49" s="1205"/>
      <c r="J49" s="1205"/>
      <c r="K49" s="1205"/>
    </row>
    <row r="50" spans="1:11" s="6" customFormat="1" x14ac:dyDescent="0.2">
      <c r="A50" s="123"/>
      <c r="B50" s="1231" t="s">
        <v>694</v>
      </c>
      <c r="C50" s="1240" t="s">
        <v>1195</v>
      </c>
      <c r="D50" s="1241"/>
      <c r="E50" s="1241">
        <v>127</v>
      </c>
      <c r="F50" s="1241">
        <f t="shared" si="3"/>
        <v>127</v>
      </c>
      <c r="G50" s="1205"/>
      <c r="H50" s="1205"/>
      <c r="I50" s="1205"/>
      <c r="J50" s="1205"/>
      <c r="K50" s="1205"/>
    </row>
    <row r="51" spans="1:11" s="6" customFormat="1" x14ac:dyDescent="0.2">
      <c r="A51" s="123"/>
      <c r="B51" s="1231"/>
      <c r="C51" s="1240"/>
      <c r="D51" s="1241"/>
      <c r="E51" s="1241"/>
      <c r="F51" s="1241"/>
      <c r="G51" s="1205"/>
      <c r="H51" s="1205"/>
      <c r="I51" s="1205"/>
      <c r="J51" s="1205"/>
      <c r="K51" s="1205"/>
    </row>
    <row r="52" spans="1:11" s="6" customFormat="1" x14ac:dyDescent="0.2">
      <c r="A52" s="123"/>
      <c r="B52" s="1231" t="s">
        <v>128</v>
      </c>
      <c r="C52" s="1234" t="s">
        <v>1145</v>
      </c>
      <c r="D52" s="1233">
        <v>800</v>
      </c>
      <c r="E52" s="1233">
        <v>1100</v>
      </c>
      <c r="F52" s="1233">
        <f>SUM(D52:E52)</f>
        <v>1900</v>
      </c>
      <c r="G52" s="1205"/>
      <c r="H52" s="1205"/>
      <c r="I52" s="1205"/>
      <c r="J52" s="1205"/>
      <c r="K52" s="1205"/>
    </row>
    <row r="53" spans="1:11" s="6" customFormat="1" x14ac:dyDescent="0.2">
      <c r="A53" s="123"/>
      <c r="B53" s="1231" t="s">
        <v>129</v>
      </c>
      <c r="C53" s="1238" t="s">
        <v>483</v>
      </c>
      <c r="D53" s="1239">
        <f>SUM(D23:D52)</f>
        <v>266185</v>
      </c>
      <c r="E53" s="1239">
        <f>SUM(E23:E52)</f>
        <v>19908</v>
      </c>
      <c r="F53" s="1239">
        <f>SUM(F23:F52)</f>
        <v>286093</v>
      </c>
      <c r="G53" s="1205"/>
      <c r="H53" s="1205"/>
      <c r="I53" s="1205"/>
      <c r="J53" s="1205"/>
      <c r="K53" s="1205"/>
    </row>
    <row r="54" spans="1:11" x14ac:dyDescent="0.2">
      <c r="B54" s="1231" t="s">
        <v>130</v>
      </c>
      <c r="C54" s="1242"/>
      <c r="D54" s="1229"/>
      <c r="E54" s="1229"/>
      <c r="F54" s="1229"/>
      <c r="G54" s="1230"/>
      <c r="H54" s="1230"/>
      <c r="I54" s="1230"/>
      <c r="J54" s="1230"/>
      <c r="K54" s="1230"/>
    </row>
    <row r="55" spans="1:11" ht="14.25" customHeight="1" x14ac:dyDescent="0.2">
      <c r="B55" s="1231" t="s">
        <v>133</v>
      </c>
      <c r="C55" s="1238" t="s">
        <v>484</v>
      </c>
      <c r="D55" s="1229">
        <f>D21</f>
        <v>7750</v>
      </c>
      <c r="E55" s="1229">
        <f>E21</f>
        <v>40162</v>
      </c>
      <c r="F55" s="1229">
        <f>F21</f>
        <v>47912</v>
      </c>
      <c r="G55" s="1230"/>
      <c r="H55" s="1230"/>
      <c r="I55" s="1230"/>
      <c r="J55" s="1230"/>
      <c r="K55" s="1230"/>
    </row>
    <row r="56" spans="1:11" ht="14.25" customHeight="1" x14ac:dyDescent="0.2">
      <c r="B56" s="1231" t="s">
        <v>136</v>
      </c>
      <c r="C56" s="1238" t="s">
        <v>485</v>
      </c>
      <c r="D56" s="1229">
        <f>D53</f>
        <v>266185</v>
      </c>
      <c r="E56" s="1229">
        <f>E53</f>
        <v>19908</v>
      </c>
      <c r="F56" s="1229">
        <f>F53</f>
        <v>286093</v>
      </c>
      <c r="G56" s="1230"/>
      <c r="H56" s="1230"/>
      <c r="I56" s="1230"/>
      <c r="J56" s="1230"/>
      <c r="K56" s="1230"/>
    </row>
    <row r="57" spans="1:11" x14ac:dyDescent="0.2">
      <c r="B57" s="1231" t="s">
        <v>137</v>
      </c>
      <c r="C57" s="1234"/>
      <c r="D57" s="1229"/>
      <c r="E57" s="1229"/>
      <c r="F57" s="1229"/>
      <c r="G57" s="1230"/>
      <c r="H57" s="1230"/>
      <c r="I57" s="1230"/>
      <c r="J57" s="1230"/>
      <c r="K57" s="1230"/>
    </row>
    <row r="58" spans="1:11" x14ac:dyDescent="0.2">
      <c r="B58" s="1231" t="s">
        <v>138</v>
      </c>
      <c r="C58" s="1238" t="s">
        <v>670</v>
      </c>
      <c r="D58" s="1239">
        <f>D55+D56</f>
        <v>273935</v>
      </c>
      <c r="E58" s="1239">
        <f>E55+E56</f>
        <v>60070</v>
      </c>
      <c r="F58" s="1239">
        <f>F55+F56</f>
        <v>334005</v>
      </c>
      <c r="G58" s="1230"/>
      <c r="H58" s="1230"/>
      <c r="I58" s="1230"/>
      <c r="J58" s="1230"/>
      <c r="K58" s="1230"/>
    </row>
    <row r="59" spans="1:11" x14ac:dyDescent="0.2">
      <c r="B59" s="124"/>
    </row>
    <row r="60" spans="1:11" x14ac:dyDescent="0.2">
      <c r="B60" s="124"/>
    </row>
    <row r="61" spans="1:11" x14ac:dyDescent="0.2">
      <c r="B61" s="124"/>
    </row>
    <row r="62" spans="1:11" x14ac:dyDescent="0.2">
      <c r="B62" s="124"/>
    </row>
    <row r="63" spans="1:11" x14ac:dyDescent="0.2">
      <c r="B63" s="124"/>
    </row>
  </sheetData>
  <sheetProtection selectLockedCells="1" selectUnlockedCells="1"/>
  <mergeCells count="9">
    <mergeCell ref="G8:H8"/>
    <mergeCell ref="I8:K8"/>
    <mergeCell ref="B1:F1"/>
    <mergeCell ref="C7:F7"/>
    <mergeCell ref="B8:B9"/>
    <mergeCell ref="C8:C9"/>
    <mergeCell ref="D8:F8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7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130"/>
  <sheetViews>
    <sheetView workbookViewId="0">
      <pane xSplit="2" ySplit="9" topLeftCell="C37" activePane="bottomRight" state="frozen"/>
      <selection activeCell="B65" sqref="B65"/>
      <selection pane="topRight" activeCell="B65" sqref="B65"/>
      <selection pane="bottomLeft" activeCell="B65" sqref="B65"/>
      <selection pane="bottomRight" activeCell="U40" sqref="U39:U40"/>
    </sheetView>
  </sheetViews>
  <sheetFormatPr defaultColWidth="9.140625" defaultRowHeight="14.1" customHeight="1" x14ac:dyDescent="0.2"/>
  <cols>
    <col min="1" max="1" width="3.7109375" style="262" customWidth="1"/>
    <col min="2" max="2" width="41.42578125" style="272" customWidth="1"/>
    <col min="3" max="3" width="9.85546875" style="80" customWidth="1"/>
    <col min="4" max="6" width="8.7109375" style="80" customWidth="1"/>
    <col min="7" max="9" width="7.85546875" style="80" customWidth="1"/>
    <col min="10" max="12" width="8.42578125" style="87" customWidth="1"/>
    <col min="13" max="15" width="9.85546875" style="92" customWidth="1"/>
    <col min="16" max="16" width="9" style="92" customWidth="1"/>
    <col min="17" max="16384" width="9.140625" style="79"/>
  </cols>
  <sheetData>
    <row r="1" spans="1:18" ht="12.75" customHeight="1" x14ac:dyDescent="0.2">
      <c r="A1" s="1371" t="s">
        <v>1234</v>
      </c>
      <c r="B1" s="1371"/>
      <c r="C1" s="1371"/>
      <c r="D1" s="1371"/>
      <c r="E1" s="1371"/>
      <c r="F1" s="1371"/>
      <c r="G1" s="1371"/>
      <c r="H1" s="1371"/>
      <c r="I1" s="1371"/>
      <c r="J1" s="1371"/>
      <c r="K1" s="1371"/>
      <c r="L1" s="1371"/>
      <c r="M1" s="1341"/>
      <c r="N1" s="1341"/>
      <c r="O1" s="1341"/>
      <c r="P1" s="1341"/>
    </row>
    <row r="2" spans="1:18" ht="14.1" customHeight="1" x14ac:dyDescent="0.2">
      <c r="A2" s="1372" t="s">
        <v>78</v>
      </c>
      <c r="B2" s="1372"/>
      <c r="C2" s="1372"/>
      <c r="D2" s="1372"/>
      <c r="E2" s="1372"/>
      <c r="F2" s="1372"/>
      <c r="G2" s="1372"/>
      <c r="H2" s="1372"/>
      <c r="I2" s="1372"/>
      <c r="J2" s="1372"/>
      <c r="K2" s="1372"/>
      <c r="L2" s="1372"/>
      <c r="M2" s="1341"/>
      <c r="N2" s="1341"/>
      <c r="O2" s="1341"/>
      <c r="P2" s="1341"/>
    </row>
    <row r="3" spans="1:18" ht="14.1" customHeight="1" x14ac:dyDescent="0.2">
      <c r="A3" s="273"/>
      <c r="B3" s="1378" t="s">
        <v>1165</v>
      </c>
      <c r="C3" s="1378"/>
      <c r="D3" s="1378"/>
      <c r="E3" s="1378"/>
      <c r="F3" s="1378"/>
      <c r="G3" s="1378"/>
      <c r="H3" s="1378"/>
      <c r="I3" s="1378"/>
      <c r="J3" s="1378"/>
      <c r="K3" s="1378"/>
      <c r="L3" s="1378"/>
      <c r="M3" s="1378"/>
      <c r="N3" s="1378"/>
      <c r="O3" s="1378"/>
      <c r="P3" s="1378"/>
    </row>
    <row r="4" spans="1:18" ht="14.25" customHeight="1" thickBot="1" x14ac:dyDescent="0.25">
      <c r="A4" s="1373" t="s">
        <v>321</v>
      </c>
      <c r="B4" s="1373"/>
      <c r="C4" s="1373"/>
      <c r="D4" s="1373"/>
      <c r="E4" s="1373"/>
      <c r="F4" s="1373"/>
      <c r="G4" s="1373"/>
      <c r="H4" s="1373"/>
      <c r="I4" s="1373"/>
      <c r="J4" s="1373"/>
      <c r="K4" s="1373"/>
      <c r="L4" s="1373"/>
      <c r="M4" s="1374"/>
      <c r="N4" s="1374"/>
      <c r="O4" s="1374"/>
      <c r="P4" s="1374"/>
    </row>
    <row r="5" spans="1:18" ht="24" customHeight="1" thickBot="1" x14ac:dyDescent="0.25">
      <c r="A5" s="1375" t="s">
        <v>498</v>
      </c>
      <c r="B5" s="270" t="s">
        <v>57</v>
      </c>
      <c r="C5" s="81" t="s">
        <v>58</v>
      </c>
      <c r="D5" s="81" t="s">
        <v>59</v>
      </c>
      <c r="E5" s="81"/>
      <c r="F5" s="82"/>
      <c r="G5" s="759" t="s">
        <v>60</v>
      </c>
      <c r="H5" s="82"/>
      <c r="I5" s="763"/>
      <c r="J5" s="762" t="s">
        <v>499</v>
      </c>
      <c r="K5" s="82"/>
      <c r="L5" s="82"/>
      <c r="M5" s="764" t="s">
        <v>500</v>
      </c>
      <c r="N5" s="765"/>
      <c r="O5" s="765"/>
      <c r="P5" s="1006" t="s">
        <v>501</v>
      </c>
      <c r="Q5" s="1007"/>
      <c r="R5" s="1008"/>
    </row>
    <row r="6" spans="1:18" ht="1.9" hidden="1" customHeight="1" thickBot="1" x14ac:dyDescent="0.25">
      <c r="A6" s="1375"/>
      <c r="B6" s="271"/>
      <c r="C6" s="116"/>
      <c r="D6" s="116"/>
      <c r="E6" s="116"/>
      <c r="F6" s="116"/>
      <c r="G6" s="116"/>
      <c r="H6" s="117"/>
      <c r="I6" s="117"/>
      <c r="J6" s="117"/>
      <c r="K6" s="756"/>
      <c r="L6" s="756"/>
      <c r="M6" s="766"/>
      <c r="N6" s="485"/>
      <c r="O6" s="485"/>
      <c r="P6" s="485"/>
    </row>
    <row r="7" spans="1:18" s="210" customFormat="1" ht="23.25" customHeight="1" thickBot="1" x14ac:dyDescent="0.25">
      <c r="A7" s="1375"/>
      <c r="B7" s="271"/>
      <c r="C7" s="116"/>
      <c r="D7" s="1379" t="s">
        <v>337</v>
      </c>
      <c r="E7" s="1380"/>
      <c r="F7" s="1380"/>
      <c r="G7" s="1381"/>
      <c r="H7" s="1381"/>
      <c r="I7" s="1381"/>
      <c r="J7" s="1382"/>
      <c r="K7" s="757"/>
      <c r="L7" s="757"/>
      <c r="M7" s="1386" t="s">
        <v>1125</v>
      </c>
      <c r="N7" s="1387"/>
      <c r="O7" s="1387"/>
      <c r="P7" s="1387"/>
      <c r="Q7" s="1387"/>
      <c r="R7" s="1388"/>
    </row>
    <row r="8" spans="1:18" s="78" customFormat="1" ht="30.75" customHeight="1" thickBot="1" x14ac:dyDescent="0.25">
      <c r="A8" s="1375"/>
      <c r="B8" s="1376" t="s">
        <v>86</v>
      </c>
      <c r="C8" s="1376" t="s">
        <v>502</v>
      </c>
      <c r="D8" s="1389" t="s">
        <v>503</v>
      </c>
      <c r="E8" s="1390"/>
      <c r="F8" s="1391"/>
      <c r="G8" s="1392" t="s">
        <v>504</v>
      </c>
      <c r="H8" s="1390"/>
      <c r="I8" s="1391"/>
      <c r="J8" s="1392" t="s">
        <v>505</v>
      </c>
      <c r="K8" s="1390"/>
      <c r="L8" s="1391"/>
      <c r="M8" s="1383" t="s">
        <v>62</v>
      </c>
      <c r="N8" s="1384"/>
      <c r="O8" s="1385"/>
      <c r="P8" s="1383" t="s">
        <v>63</v>
      </c>
      <c r="Q8" s="1384"/>
      <c r="R8" s="1385"/>
    </row>
    <row r="9" spans="1:18" s="78" customFormat="1" ht="41.25" customHeight="1" thickBot="1" x14ac:dyDescent="0.25">
      <c r="A9" s="1375"/>
      <c r="B9" s="1376"/>
      <c r="C9" s="1377"/>
      <c r="D9" s="996" t="s">
        <v>1254</v>
      </c>
      <c r="E9" s="997" t="s">
        <v>1252</v>
      </c>
      <c r="F9" s="998" t="s">
        <v>1251</v>
      </c>
      <c r="G9" s="999" t="s">
        <v>1255</v>
      </c>
      <c r="H9" s="997" t="s">
        <v>1252</v>
      </c>
      <c r="I9" s="998" t="s">
        <v>1251</v>
      </c>
      <c r="J9" s="1000" t="s">
        <v>1256</v>
      </c>
      <c r="K9" s="997" t="s">
        <v>1252</v>
      </c>
      <c r="L9" s="998" t="s">
        <v>1251</v>
      </c>
      <c r="M9" s="1001" t="s">
        <v>1253</v>
      </c>
      <c r="N9" s="1002" t="s">
        <v>1252</v>
      </c>
      <c r="O9" s="1003" t="s">
        <v>1251</v>
      </c>
      <c r="P9" s="1001" t="s">
        <v>1253</v>
      </c>
      <c r="Q9" s="1004" t="s">
        <v>1252</v>
      </c>
      <c r="R9" s="1005" t="s">
        <v>1251</v>
      </c>
    </row>
    <row r="10" spans="1:18" ht="14.1" customHeight="1" x14ac:dyDescent="0.2">
      <c r="A10" s="106"/>
      <c r="B10" s="83" t="s">
        <v>78</v>
      </c>
      <c r="C10" s="84"/>
      <c r="D10" s="84"/>
      <c r="E10" s="84"/>
      <c r="F10" s="760"/>
      <c r="G10" s="84"/>
      <c r="H10" s="84"/>
      <c r="I10" s="760"/>
      <c r="J10" s="85"/>
      <c r="K10" s="85"/>
      <c r="L10" s="761"/>
      <c r="O10" s="767"/>
      <c r="P10" s="485"/>
      <c r="Q10" s="964"/>
      <c r="R10" s="995"/>
    </row>
    <row r="11" spans="1:18" ht="14.1" customHeight="1" x14ac:dyDescent="0.2">
      <c r="A11" s="106"/>
      <c r="B11" s="83"/>
      <c r="C11" s="84"/>
      <c r="D11" s="84"/>
      <c r="E11" s="84"/>
      <c r="F11" s="760"/>
      <c r="G11" s="84"/>
      <c r="H11" s="84"/>
      <c r="I11" s="760"/>
      <c r="J11" s="85"/>
      <c r="K11" s="85"/>
      <c r="L11" s="761"/>
      <c r="O11" s="767"/>
      <c r="P11" s="485"/>
      <c r="Q11" s="770"/>
      <c r="R11" s="965"/>
    </row>
    <row r="12" spans="1:18" ht="14.1" customHeight="1" x14ac:dyDescent="0.2">
      <c r="A12" s="260" t="s">
        <v>506</v>
      </c>
      <c r="B12" s="771" t="s">
        <v>507</v>
      </c>
      <c r="C12" s="772"/>
      <c r="D12" s="772"/>
      <c r="E12" s="772"/>
      <c r="F12" s="897"/>
      <c r="G12" s="894"/>
      <c r="H12" s="772"/>
      <c r="I12" s="897"/>
      <c r="J12" s="905"/>
      <c r="K12" s="773"/>
      <c r="L12" s="921"/>
      <c r="M12" s="940"/>
      <c r="N12" s="774"/>
      <c r="O12" s="958"/>
      <c r="P12" s="940"/>
      <c r="Q12" s="775"/>
      <c r="R12" s="966"/>
    </row>
    <row r="13" spans="1:18" s="88" customFormat="1" ht="13.15" customHeight="1" thickBot="1" x14ac:dyDescent="0.25">
      <c r="A13" s="224"/>
      <c r="B13" s="868"/>
      <c r="C13" s="841"/>
      <c r="D13" s="822"/>
      <c r="E13" s="822"/>
      <c r="F13" s="898"/>
      <c r="G13" s="895"/>
      <c r="H13" s="822"/>
      <c r="I13" s="898"/>
      <c r="J13" s="933"/>
      <c r="K13" s="837"/>
      <c r="L13" s="948"/>
      <c r="M13" s="910"/>
      <c r="N13" s="820"/>
      <c r="O13" s="927"/>
      <c r="P13" s="910"/>
      <c r="Q13" s="884"/>
      <c r="R13" s="967"/>
    </row>
    <row r="14" spans="1:18" s="88" customFormat="1" ht="15" customHeight="1" thickBot="1" x14ac:dyDescent="0.25">
      <c r="A14" s="892"/>
      <c r="B14" s="870" t="s">
        <v>510</v>
      </c>
      <c r="C14" s="836"/>
      <c r="D14" s="840">
        <f>SUM(D13:D13)</f>
        <v>0</v>
      </c>
      <c r="E14" s="840"/>
      <c r="F14" s="899"/>
      <c r="G14" s="896">
        <f>SUM(G13:G13)</f>
        <v>0</v>
      </c>
      <c r="H14" s="840"/>
      <c r="I14" s="899"/>
      <c r="J14" s="896">
        <f>SUM(J13:J13)</f>
        <v>0</v>
      </c>
      <c r="K14" s="840"/>
      <c r="L14" s="899"/>
      <c r="M14" s="896">
        <f>SUM(M13:M13)</f>
        <v>0</v>
      </c>
      <c r="N14" s="840"/>
      <c r="O14" s="899"/>
      <c r="P14" s="896">
        <f>SUM(P13:P13)</f>
        <v>0</v>
      </c>
      <c r="Q14" s="859"/>
      <c r="R14" s="893"/>
    </row>
    <row r="15" spans="1:18" ht="14.1" customHeight="1" x14ac:dyDescent="0.2">
      <c r="A15" s="261"/>
      <c r="B15" s="86"/>
      <c r="C15" s="84"/>
      <c r="D15" s="84"/>
      <c r="E15" s="84"/>
      <c r="F15" s="760"/>
      <c r="G15" s="84"/>
      <c r="H15" s="84"/>
      <c r="I15" s="760"/>
      <c r="J15" s="85"/>
      <c r="K15" s="85"/>
      <c r="L15" s="761"/>
      <c r="O15" s="767"/>
      <c r="P15" s="485"/>
      <c r="Q15" s="770"/>
      <c r="R15" s="965"/>
    </row>
    <row r="16" spans="1:18" ht="12" customHeight="1" x14ac:dyDescent="0.2">
      <c r="A16" s="781" t="s">
        <v>511</v>
      </c>
      <c r="B16" s="771" t="s">
        <v>512</v>
      </c>
      <c r="C16" s="772"/>
      <c r="D16" s="772"/>
      <c r="E16" s="772"/>
      <c r="F16" s="897"/>
      <c r="G16" s="894"/>
      <c r="H16" s="772"/>
      <c r="I16" s="897"/>
      <c r="J16" s="905"/>
      <c r="K16" s="773"/>
      <c r="L16" s="921"/>
      <c r="M16" s="940"/>
      <c r="N16" s="774"/>
      <c r="O16" s="958"/>
      <c r="P16" s="940"/>
      <c r="Q16" s="775"/>
      <c r="R16" s="966"/>
    </row>
    <row r="17" spans="1:20" ht="26.25" customHeight="1" x14ac:dyDescent="0.2">
      <c r="A17" s="782" t="s">
        <v>508</v>
      </c>
      <c r="B17" s="776" t="s">
        <v>1036</v>
      </c>
      <c r="C17" s="777" t="s">
        <v>509</v>
      </c>
      <c r="D17" s="783">
        <v>7874</v>
      </c>
      <c r="E17" s="783"/>
      <c r="F17" s="916"/>
      <c r="G17" s="900">
        <v>2126</v>
      </c>
      <c r="H17" s="783"/>
      <c r="I17" s="916"/>
      <c r="J17" s="934">
        <f>D17+G17</f>
        <v>10000</v>
      </c>
      <c r="K17" s="784"/>
      <c r="L17" s="949"/>
      <c r="M17" s="900">
        <f>J17</f>
        <v>10000</v>
      </c>
      <c r="N17" s="783"/>
      <c r="O17" s="916"/>
      <c r="P17" s="900"/>
      <c r="Q17" s="785"/>
      <c r="R17" s="966"/>
    </row>
    <row r="18" spans="1:20" ht="13.5" customHeight="1" x14ac:dyDescent="0.2">
      <c r="A18" s="782"/>
      <c r="B18" s="786"/>
      <c r="C18" s="772"/>
      <c r="D18" s="778"/>
      <c r="E18" s="778"/>
      <c r="F18" s="917"/>
      <c r="G18" s="901"/>
      <c r="H18" s="778"/>
      <c r="I18" s="917"/>
      <c r="J18" s="902"/>
      <c r="K18" s="779"/>
      <c r="L18" s="918"/>
      <c r="M18" s="901"/>
      <c r="N18" s="778"/>
      <c r="O18" s="917"/>
      <c r="P18" s="901"/>
      <c r="Q18" s="785"/>
      <c r="R18" s="966"/>
    </row>
    <row r="19" spans="1:20" ht="12" customHeight="1" x14ac:dyDescent="0.2">
      <c r="A19" s="781"/>
      <c r="B19" s="771" t="s">
        <v>513</v>
      </c>
      <c r="C19" s="773"/>
      <c r="D19" s="779">
        <f>SUM(D17:D18)</f>
        <v>7874</v>
      </c>
      <c r="E19" s="779"/>
      <c r="F19" s="918"/>
      <c r="G19" s="902">
        <f>SUM(G17:G18)</f>
        <v>2126</v>
      </c>
      <c r="H19" s="779"/>
      <c r="I19" s="918"/>
      <c r="J19" s="902">
        <f>SUM(J17:J18)</f>
        <v>10000</v>
      </c>
      <c r="K19" s="779"/>
      <c r="L19" s="918"/>
      <c r="M19" s="902">
        <f>SUM(M17:M18)</f>
        <v>10000</v>
      </c>
      <c r="N19" s="779"/>
      <c r="O19" s="918"/>
      <c r="P19" s="902">
        <f>SUM(P17:P18)</f>
        <v>0</v>
      </c>
      <c r="Q19" s="775"/>
      <c r="R19" s="966"/>
    </row>
    <row r="20" spans="1:20" ht="12" customHeight="1" x14ac:dyDescent="0.2">
      <c r="A20" s="781"/>
      <c r="B20" s="787"/>
      <c r="C20" s="772"/>
      <c r="D20" s="772"/>
      <c r="E20" s="772"/>
      <c r="F20" s="897"/>
      <c r="G20" s="894"/>
      <c r="H20" s="772"/>
      <c r="I20" s="897"/>
      <c r="J20" s="905"/>
      <c r="K20" s="773"/>
      <c r="L20" s="921"/>
      <c r="M20" s="940"/>
      <c r="N20" s="774"/>
      <c r="O20" s="958"/>
      <c r="P20" s="940"/>
      <c r="Q20" s="775"/>
      <c r="R20" s="966"/>
    </row>
    <row r="21" spans="1:20" ht="15.75" customHeight="1" x14ac:dyDescent="0.2">
      <c r="A21" s="788" t="s">
        <v>514</v>
      </c>
      <c r="B21" s="789" t="s">
        <v>515</v>
      </c>
      <c r="C21" s="790"/>
      <c r="D21" s="772"/>
      <c r="E21" s="772"/>
      <c r="F21" s="897"/>
      <c r="G21" s="894"/>
      <c r="H21" s="772"/>
      <c r="I21" s="897"/>
      <c r="J21" s="905"/>
      <c r="K21" s="773"/>
      <c r="L21" s="921"/>
      <c r="M21" s="940"/>
      <c r="N21" s="774"/>
      <c r="O21" s="958"/>
      <c r="P21" s="940"/>
      <c r="Q21" s="775"/>
      <c r="R21" s="966"/>
    </row>
    <row r="22" spans="1:20" s="88" customFormat="1" ht="19.5" customHeight="1" x14ac:dyDescent="0.2">
      <c r="A22" s="791" t="s">
        <v>508</v>
      </c>
      <c r="B22" s="792" t="s">
        <v>1146</v>
      </c>
      <c r="C22" s="783" t="s">
        <v>998</v>
      </c>
      <c r="D22" s="783">
        <v>3495</v>
      </c>
      <c r="E22" s="783"/>
      <c r="F22" s="916"/>
      <c r="G22" s="900">
        <v>945</v>
      </c>
      <c r="H22" s="783"/>
      <c r="I22" s="916"/>
      <c r="J22" s="934">
        <f>D22+G22</f>
        <v>4440</v>
      </c>
      <c r="K22" s="784"/>
      <c r="L22" s="949"/>
      <c r="M22" s="900">
        <f t="shared" ref="M22:M27" si="0">J22</f>
        <v>4440</v>
      </c>
      <c r="N22" s="783"/>
      <c r="O22" s="916"/>
      <c r="P22" s="901"/>
      <c r="Q22" s="758"/>
      <c r="R22" s="968"/>
    </row>
    <row r="23" spans="1:20" s="88" customFormat="1" ht="19.5" customHeight="1" x14ac:dyDescent="0.2">
      <c r="A23" s="791" t="s">
        <v>1187</v>
      </c>
      <c r="B23" s="792" t="s">
        <v>1037</v>
      </c>
      <c r="C23" s="777" t="s">
        <v>509</v>
      </c>
      <c r="D23" s="783">
        <f>108835+10945</f>
        <v>119780</v>
      </c>
      <c r="E23" s="783"/>
      <c r="F23" s="916"/>
      <c r="G23" s="900">
        <f>29386+2954</f>
        <v>32340</v>
      </c>
      <c r="H23" s="783"/>
      <c r="I23" s="916"/>
      <c r="J23" s="934">
        <f>D23+G23</f>
        <v>152120</v>
      </c>
      <c r="K23" s="784"/>
      <c r="L23" s="949"/>
      <c r="M23" s="900">
        <f t="shared" si="0"/>
        <v>152120</v>
      </c>
      <c r="N23" s="783"/>
      <c r="O23" s="916"/>
      <c r="P23" s="901"/>
      <c r="Q23" s="758"/>
      <c r="R23" s="968"/>
    </row>
    <row r="24" spans="1:20" s="88" customFormat="1" ht="19.5" customHeight="1" x14ac:dyDescent="0.2">
      <c r="A24" s="791" t="s">
        <v>1186</v>
      </c>
      <c r="B24" s="792" t="s">
        <v>1188</v>
      </c>
      <c r="C24" s="783" t="s">
        <v>998</v>
      </c>
      <c r="D24" s="783">
        <v>29528</v>
      </c>
      <c r="E24" s="783"/>
      <c r="F24" s="916"/>
      <c r="G24" s="900">
        <v>7972</v>
      </c>
      <c r="H24" s="783"/>
      <c r="I24" s="916"/>
      <c r="J24" s="934">
        <f>SUM(D24:G24)</f>
        <v>37500</v>
      </c>
      <c r="K24" s="784"/>
      <c r="L24" s="949"/>
      <c r="M24" s="900">
        <f t="shared" si="0"/>
        <v>37500</v>
      </c>
      <c r="N24" s="783"/>
      <c r="O24" s="916"/>
      <c r="P24" s="901"/>
      <c r="Q24" s="758"/>
      <c r="R24" s="968"/>
    </row>
    <row r="25" spans="1:20" s="88" customFormat="1" ht="23.25" customHeight="1" x14ac:dyDescent="0.2">
      <c r="A25" s="791" t="s">
        <v>517</v>
      </c>
      <c r="B25" s="792" t="s">
        <v>1189</v>
      </c>
      <c r="C25" s="777" t="s">
        <v>509</v>
      </c>
      <c r="D25" s="783">
        <v>21870</v>
      </c>
      <c r="E25" s="783"/>
      <c r="F25" s="916"/>
      <c r="G25" s="900">
        <v>5905</v>
      </c>
      <c r="H25" s="783"/>
      <c r="I25" s="916"/>
      <c r="J25" s="934">
        <f t="shared" ref="J25:J38" si="1">D25+G25</f>
        <v>27775</v>
      </c>
      <c r="K25" s="784"/>
      <c r="L25" s="949"/>
      <c r="M25" s="900">
        <f t="shared" si="0"/>
        <v>27775</v>
      </c>
      <c r="N25" s="783"/>
      <c r="O25" s="916"/>
      <c r="P25" s="900"/>
      <c r="Q25" s="758"/>
      <c r="R25" s="968"/>
      <c r="S25" s="780"/>
    </row>
    <row r="26" spans="1:20" s="88" customFormat="1" ht="24.75" customHeight="1" x14ac:dyDescent="0.2">
      <c r="A26" s="791" t="s">
        <v>518</v>
      </c>
      <c r="B26" s="792" t="s">
        <v>1013</v>
      </c>
      <c r="C26" s="777" t="s">
        <v>509</v>
      </c>
      <c r="D26" s="783">
        <f>23622-15748</f>
        <v>7874</v>
      </c>
      <c r="E26" s="783"/>
      <c r="F26" s="916"/>
      <c r="G26" s="900">
        <f>6378-4252</f>
        <v>2126</v>
      </c>
      <c r="H26" s="783"/>
      <c r="I26" s="916"/>
      <c r="J26" s="934">
        <f t="shared" si="1"/>
        <v>10000</v>
      </c>
      <c r="K26" s="784"/>
      <c r="L26" s="949"/>
      <c r="M26" s="900">
        <f t="shared" si="0"/>
        <v>10000</v>
      </c>
      <c r="N26" s="783"/>
      <c r="O26" s="916"/>
      <c r="P26" s="901"/>
      <c r="Q26" s="758"/>
      <c r="R26" s="968"/>
    </row>
    <row r="27" spans="1:20" s="88" customFormat="1" ht="26.25" customHeight="1" x14ac:dyDescent="0.2">
      <c r="A27" s="791" t="s">
        <v>519</v>
      </c>
      <c r="B27" s="776" t="s">
        <v>1181</v>
      </c>
      <c r="C27" s="777" t="s">
        <v>509</v>
      </c>
      <c r="D27" s="783">
        <v>541122</v>
      </c>
      <c r="E27" s="783"/>
      <c r="F27" s="916"/>
      <c r="G27" s="900">
        <v>146103</v>
      </c>
      <c r="H27" s="783"/>
      <c r="I27" s="916"/>
      <c r="J27" s="934">
        <f t="shared" si="1"/>
        <v>687225</v>
      </c>
      <c r="K27" s="784"/>
      <c r="L27" s="949"/>
      <c r="M27" s="900">
        <f t="shared" si="0"/>
        <v>687225</v>
      </c>
      <c r="N27" s="783"/>
      <c r="O27" s="916"/>
      <c r="P27" s="901"/>
      <c r="Q27" s="758"/>
      <c r="R27" s="968"/>
    </row>
    <row r="28" spans="1:20" s="88" customFormat="1" ht="21.75" customHeight="1" x14ac:dyDescent="0.2">
      <c r="A28" s="791" t="s">
        <v>520</v>
      </c>
      <c r="B28" s="793" t="s">
        <v>194</v>
      </c>
      <c r="C28" s="777" t="s">
        <v>509</v>
      </c>
      <c r="D28" s="783">
        <v>5468</v>
      </c>
      <c r="E28" s="783"/>
      <c r="F28" s="916"/>
      <c r="G28" s="900">
        <v>1486</v>
      </c>
      <c r="H28" s="783"/>
      <c r="I28" s="916"/>
      <c r="J28" s="934">
        <f t="shared" si="1"/>
        <v>6954</v>
      </c>
      <c r="K28" s="784"/>
      <c r="L28" s="949"/>
      <c r="M28" s="900"/>
      <c r="N28" s="783"/>
      <c r="O28" s="916"/>
      <c r="P28" s="900">
        <f>J28</f>
        <v>6954</v>
      </c>
      <c r="Q28" s="758"/>
      <c r="R28" s="968"/>
    </row>
    <row r="29" spans="1:20" s="88" customFormat="1" ht="36.75" customHeight="1" x14ac:dyDescent="0.2">
      <c r="A29" s="791" t="s">
        <v>1169</v>
      </c>
      <c r="B29" s="794" t="s">
        <v>1150</v>
      </c>
      <c r="C29" s="783" t="s">
        <v>509</v>
      </c>
      <c r="D29" s="783">
        <v>141228</v>
      </c>
      <c r="E29" s="783"/>
      <c r="F29" s="916"/>
      <c r="G29" s="900">
        <v>38132</v>
      </c>
      <c r="H29" s="783"/>
      <c r="I29" s="916"/>
      <c r="J29" s="934">
        <f t="shared" si="1"/>
        <v>179360</v>
      </c>
      <c r="K29" s="784"/>
      <c r="L29" s="949"/>
      <c r="M29" s="900">
        <f>J29</f>
        <v>179360</v>
      </c>
      <c r="N29" s="783"/>
      <c r="O29" s="916"/>
      <c r="P29" s="900"/>
      <c r="Q29" s="795"/>
      <c r="R29" s="969"/>
      <c r="S29" s="670"/>
      <c r="T29" s="670"/>
    </row>
    <row r="30" spans="1:20" s="88" customFormat="1" ht="21.75" customHeight="1" x14ac:dyDescent="0.2">
      <c r="A30" s="791" t="s">
        <v>1170</v>
      </c>
      <c r="B30" s="793" t="s">
        <v>1182</v>
      </c>
      <c r="C30" s="777"/>
      <c r="D30" s="783">
        <v>118110</v>
      </c>
      <c r="E30" s="783"/>
      <c r="F30" s="916"/>
      <c r="G30" s="900">
        <v>31890</v>
      </c>
      <c r="H30" s="783"/>
      <c r="I30" s="916"/>
      <c r="J30" s="934">
        <f t="shared" si="1"/>
        <v>150000</v>
      </c>
      <c r="K30" s="784"/>
      <c r="L30" s="949"/>
      <c r="M30" s="900">
        <f>J30</f>
        <v>150000</v>
      </c>
      <c r="N30" s="783"/>
      <c r="O30" s="916"/>
      <c r="P30" s="900"/>
      <c r="Q30" s="758"/>
      <c r="R30" s="968"/>
    </row>
    <row r="31" spans="1:20" s="88" customFormat="1" ht="21.75" customHeight="1" x14ac:dyDescent="0.2">
      <c r="A31" s="791" t="s">
        <v>1171</v>
      </c>
      <c r="B31" s="793" t="s">
        <v>1000</v>
      </c>
      <c r="C31" s="777" t="s">
        <v>509</v>
      </c>
      <c r="D31" s="783">
        <v>80132</v>
      </c>
      <c r="E31" s="783"/>
      <c r="F31" s="916"/>
      <c r="G31" s="900">
        <v>21635</v>
      </c>
      <c r="H31" s="783"/>
      <c r="I31" s="916"/>
      <c r="J31" s="934">
        <f t="shared" ref="J31" si="2">D31+G31</f>
        <v>101767</v>
      </c>
      <c r="K31" s="784"/>
      <c r="L31" s="949"/>
      <c r="M31" s="900">
        <f t="shared" ref="M31" si="3">J31</f>
        <v>101767</v>
      </c>
      <c r="N31" s="783"/>
      <c r="O31" s="916"/>
      <c r="P31" s="900"/>
      <c r="Q31" s="758"/>
      <c r="R31" s="968"/>
    </row>
    <row r="32" spans="1:20" s="88" customFormat="1" ht="21.75" customHeight="1" x14ac:dyDescent="0.2">
      <c r="A32" s="791" t="s">
        <v>522</v>
      </c>
      <c r="B32" s="793" t="s">
        <v>999</v>
      </c>
      <c r="C32" s="777" t="s">
        <v>509</v>
      </c>
      <c r="D32" s="783">
        <v>11616</v>
      </c>
      <c r="E32" s="783"/>
      <c r="F32" s="916"/>
      <c r="G32" s="900">
        <v>3137</v>
      </c>
      <c r="H32" s="783"/>
      <c r="I32" s="916"/>
      <c r="J32" s="934">
        <f t="shared" si="1"/>
        <v>14753</v>
      </c>
      <c r="K32" s="784"/>
      <c r="L32" s="949"/>
      <c r="M32" s="900">
        <f t="shared" ref="M32:M35" si="4">J32</f>
        <v>14753</v>
      </c>
      <c r="N32" s="783"/>
      <c r="O32" s="916"/>
      <c r="P32" s="900"/>
      <c r="Q32" s="758"/>
      <c r="R32" s="968"/>
    </row>
    <row r="33" spans="1:18" s="88" customFormat="1" ht="21.75" customHeight="1" x14ac:dyDescent="0.2">
      <c r="A33" s="791" t="s">
        <v>523</v>
      </c>
      <c r="B33" s="793" t="s">
        <v>1135</v>
      </c>
      <c r="C33" s="777" t="s">
        <v>509</v>
      </c>
      <c r="D33" s="783">
        <v>10000</v>
      </c>
      <c r="E33" s="783"/>
      <c r="F33" s="916"/>
      <c r="G33" s="900">
        <v>2700</v>
      </c>
      <c r="H33" s="783"/>
      <c r="I33" s="916"/>
      <c r="J33" s="934">
        <f t="shared" si="1"/>
        <v>12700</v>
      </c>
      <c r="K33" s="784"/>
      <c r="L33" s="949"/>
      <c r="M33" s="900">
        <f t="shared" si="4"/>
        <v>12700</v>
      </c>
      <c r="N33" s="783"/>
      <c r="O33" s="916"/>
      <c r="P33" s="900"/>
      <c r="Q33" s="785"/>
      <c r="R33" s="968"/>
    </row>
    <row r="34" spans="1:18" s="88" customFormat="1" ht="21.75" customHeight="1" x14ac:dyDescent="0.2">
      <c r="A34" s="791" t="s">
        <v>565</v>
      </c>
      <c r="B34" s="793" t="s">
        <v>997</v>
      </c>
      <c r="C34" s="777" t="s">
        <v>509</v>
      </c>
      <c r="D34" s="783">
        <v>3000</v>
      </c>
      <c r="E34" s="783"/>
      <c r="F34" s="916"/>
      <c r="G34" s="900">
        <v>810</v>
      </c>
      <c r="H34" s="783"/>
      <c r="I34" s="916"/>
      <c r="J34" s="934">
        <f t="shared" si="1"/>
        <v>3810</v>
      </c>
      <c r="K34" s="784"/>
      <c r="L34" s="949"/>
      <c r="M34" s="900">
        <f t="shared" si="4"/>
        <v>3810</v>
      </c>
      <c r="N34" s="783"/>
      <c r="O34" s="916"/>
      <c r="P34" s="900"/>
      <c r="Q34" s="785"/>
      <c r="R34" s="968"/>
    </row>
    <row r="35" spans="1:18" s="88" customFormat="1" ht="21.75" customHeight="1" x14ac:dyDescent="0.2">
      <c r="A35" s="791" t="s">
        <v>566</v>
      </c>
      <c r="B35" s="793" t="s">
        <v>1001</v>
      </c>
      <c r="C35" s="777" t="s">
        <v>509</v>
      </c>
      <c r="D35" s="783">
        <v>12598</v>
      </c>
      <c r="E35" s="783"/>
      <c r="F35" s="916"/>
      <c r="G35" s="900">
        <v>3402</v>
      </c>
      <c r="H35" s="783"/>
      <c r="I35" s="916"/>
      <c r="J35" s="934">
        <f t="shared" si="1"/>
        <v>16000</v>
      </c>
      <c r="K35" s="784"/>
      <c r="L35" s="949"/>
      <c r="M35" s="900">
        <f t="shared" si="4"/>
        <v>16000</v>
      </c>
      <c r="N35" s="783"/>
      <c r="O35" s="916"/>
      <c r="P35" s="900"/>
      <c r="Q35" s="785"/>
      <c r="R35" s="968"/>
    </row>
    <row r="36" spans="1:18" s="88" customFormat="1" ht="21.75" customHeight="1" x14ac:dyDescent="0.2">
      <c r="A36" s="796" t="s">
        <v>1247</v>
      </c>
      <c r="B36" s="793" t="s">
        <v>1035</v>
      </c>
      <c r="C36" s="777" t="s">
        <v>509</v>
      </c>
      <c r="D36" s="783">
        <v>2362</v>
      </c>
      <c r="E36" s="783"/>
      <c r="F36" s="916"/>
      <c r="G36" s="900">
        <v>638</v>
      </c>
      <c r="H36" s="783"/>
      <c r="I36" s="916"/>
      <c r="J36" s="934">
        <f t="shared" si="1"/>
        <v>3000</v>
      </c>
      <c r="K36" s="784"/>
      <c r="L36" s="949"/>
      <c r="M36" s="900"/>
      <c r="N36" s="783"/>
      <c r="O36" s="916"/>
      <c r="P36" s="900">
        <f>J36</f>
        <v>3000</v>
      </c>
      <c r="Q36" s="785"/>
      <c r="R36" s="968"/>
    </row>
    <row r="37" spans="1:18" s="88" customFormat="1" ht="21.75" customHeight="1" x14ac:dyDescent="0.2">
      <c r="A37" s="796" t="s">
        <v>1248</v>
      </c>
      <c r="B37" s="793"/>
      <c r="C37" s="777"/>
      <c r="D37" s="783"/>
      <c r="E37" s="783"/>
      <c r="F37" s="916"/>
      <c r="G37" s="900"/>
      <c r="H37" s="783"/>
      <c r="I37" s="916"/>
      <c r="J37" s="934"/>
      <c r="K37" s="784"/>
      <c r="L37" s="949"/>
      <c r="M37" s="900"/>
      <c r="N37" s="783"/>
      <c r="O37" s="916"/>
      <c r="P37" s="900"/>
      <c r="Q37" s="785"/>
      <c r="R37" s="968"/>
    </row>
    <row r="38" spans="1:18" s="88" customFormat="1" ht="26.25" customHeight="1" x14ac:dyDescent="0.2">
      <c r="A38" s="791" t="s">
        <v>568</v>
      </c>
      <c r="B38" s="793" t="s">
        <v>1183</v>
      </c>
      <c r="C38" s="777" t="s">
        <v>509</v>
      </c>
      <c r="D38" s="783">
        <v>41732</v>
      </c>
      <c r="E38" s="783"/>
      <c r="F38" s="916"/>
      <c r="G38" s="900">
        <v>11268</v>
      </c>
      <c r="H38" s="783"/>
      <c r="I38" s="916"/>
      <c r="J38" s="934">
        <f t="shared" si="1"/>
        <v>53000</v>
      </c>
      <c r="K38" s="784"/>
      <c r="L38" s="949"/>
      <c r="M38" s="900">
        <f>J38</f>
        <v>53000</v>
      </c>
      <c r="N38" s="783"/>
      <c r="O38" s="916"/>
      <c r="P38" s="900"/>
      <c r="Q38" s="785"/>
      <c r="R38" s="968"/>
    </row>
    <row r="39" spans="1:18" s="88" customFormat="1" ht="27.75" customHeight="1" x14ac:dyDescent="0.2">
      <c r="A39" s="791" t="s">
        <v>569</v>
      </c>
      <c r="B39" s="797" t="s">
        <v>1184</v>
      </c>
      <c r="C39" s="777" t="s">
        <v>509</v>
      </c>
      <c r="D39" s="783">
        <v>193701</v>
      </c>
      <c r="E39" s="783"/>
      <c r="F39" s="916"/>
      <c r="G39" s="900">
        <v>52299</v>
      </c>
      <c r="H39" s="783"/>
      <c r="I39" s="916"/>
      <c r="J39" s="934">
        <f t="shared" ref="J39" si="5">D39+G39</f>
        <v>246000</v>
      </c>
      <c r="K39" s="784"/>
      <c r="L39" s="949"/>
      <c r="M39" s="900">
        <f>J39</f>
        <v>246000</v>
      </c>
      <c r="N39" s="783"/>
      <c r="O39" s="916"/>
      <c r="P39" s="900"/>
      <c r="Q39" s="758"/>
      <c r="R39" s="968"/>
    </row>
    <row r="40" spans="1:18" s="88" customFormat="1" ht="27.75" customHeight="1" x14ac:dyDescent="0.2">
      <c r="A40" s="798" t="s">
        <v>1190</v>
      </c>
      <c r="B40" s="799" t="s">
        <v>1084</v>
      </c>
      <c r="C40" s="777" t="s">
        <v>509</v>
      </c>
      <c r="D40" s="783">
        <v>162251</v>
      </c>
      <c r="E40" s="783"/>
      <c r="F40" s="916"/>
      <c r="G40" s="900">
        <v>43808</v>
      </c>
      <c r="H40" s="783"/>
      <c r="I40" s="916"/>
      <c r="J40" s="934">
        <f>SUM(D40:G40)</f>
        <v>206059</v>
      </c>
      <c r="K40" s="784"/>
      <c r="L40" s="949"/>
      <c r="M40" s="900">
        <v>206059</v>
      </c>
      <c r="N40" s="783"/>
      <c r="O40" s="916"/>
      <c r="P40" s="900"/>
      <c r="Q40" s="758"/>
      <c r="R40" s="968"/>
    </row>
    <row r="41" spans="1:18" s="88" customFormat="1" ht="27.75" customHeight="1" x14ac:dyDescent="0.2">
      <c r="A41" s="798" t="s">
        <v>1191</v>
      </c>
      <c r="B41" s="800" t="s">
        <v>1192</v>
      </c>
      <c r="C41" s="783" t="s">
        <v>330</v>
      </c>
      <c r="D41" s="783">
        <v>3000</v>
      </c>
      <c r="E41" s="783"/>
      <c r="F41" s="916"/>
      <c r="G41" s="900">
        <v>810</v>
      </c>
      <c r="H41" s="783"/>
      <c r="I41" s="916"/>
      <c r="J41" s="934">
        <f>SUM(D41:G41)</f>
        <v>3810</v>
      </c>
      <c r="K41" s="784"/>
      <c r="L41" s="949"/>
      <c r="M41" s="900">
        <f>J41</f>
        <v>3810</v>
      </c>
      <c r="N41" s="783"/>
      <c r="O41" s="916"/>
      <c r="P41" s="900"/>
      <c r="Q41" s="758"/>
      <c r="R41" s="968"/>
    </row>
    <row r="42" spans="1:18" s="88" customFormat="1" ht="27.75" customHeight="1" x14ac:dyDescent="0.2">
      <c r="A42" s="873" t="s">
        <v>571</v>
      </c>
      <c r="B42" s="883" t="s">
        <v>1177</v>
      </c>
      <c r="C42" s="853" t="s">
        <v>330</v>
      </c>
      <c r="D42" s="853">
        <f>6938+197</f>
        <v>7135</v>
      </c>
      <c r="E42" s="853"/>
      <c r="F42" s="919"/>
      <c r="G42" s="903">
        <v>53</v>
      </c>
      <c r="H42" s="853"/>
      <c r="I42" s="919"/>
      <c r="J42" s="935">
        <f>SUM(D42:G42)</f>
        <v>7188</v>
      </c>
      <c r="K42" s="867"/>
      <c r="L42" s="950"/>
      <c r="M42" s="903">
        <f>J42</f>
        <v>7188</v>
      </c>
      <c r="N42" s="853"/>
      <c r="O42" s="919"/>
      <c r="P42" s="903"/>
      <c r="Q42" s="884"/>
      <c r="R42" s="967"/>
    </row>
    <row r="43" spans="1:18" s="88" customFormat="1" ht="27.75" customHeight="1" x14ac:dyDescent="0.2">
      <c r="A43" s="985"/>
      <c r="B43" s="986"/>
      <c r="C43" s="987"/>
      <c r="D43" s="987"/>
      <c r="E43" s="987"/>
      <c r="F43" s="988"/>
      <c r="G43" s="989"/>
      <c r="H43" s="987"/>
      <c r="I43" s="988"/>
      <c r="J43" s="990"/>
      <c r="K43" s="991"/>
      <c r="L43" s="992"/>
      <c r="M43" s="989"/>
      <c r="N43" s="987"/>
      <c r="O43" s="988"/>
      <c r="P43" s="989"/>
      <c r="Q43" s="993"/>
      <c r="R43" s="994"/>
    </row>
    <row r="44" spans="1:18" s="88" customFormat="1" ht="27.75" customHeight="1" thickBot="1" x14ac:dyDescent="0.25">
      <c r="A44" s="985"/>
      <c r="B44" s="986"/>
      <c r="C44" s="987"/>
      <c r="D44" s="987"/>
      <c r="E44" s="987"/>
      <c r="F44" s="988"/>
      <c r="G44" s="989"/>
      <c r="H44" s="987"/>
      <c r="I44" s="988"/>
      <c r="J44" s="990"/>
      <c r="K44" s="991"/>
      <c r="L44" s="992"/>
      <c r="M44" s="989"/>
      <c r="N44" s="987"/>
      <c r="O44" s="988"/>
      <c r="P44" s="989"/>
      <c r="Q44" s="993"/>
      <c r="R44" s="994"/>
    </row>
    <row r="45" spans="1:18" ht="13.9" customHeight="1" thickBot="1" x14ac:dyDescent="0.25">
      <c r="A45" s="889"/>
      <c r="B45" s="870" t="s">
        <v>524</v>
      </c>
      <c r="C45" s="880"/>
      <c r="D45" s="840">
        <f>SUM(D22:D42)</f>
        <v>1516002</v>
      </c>
      <c r="E45" s="840"/>
      <c r="F45" s="899"/>
      <c r="G45" s="896">
        <f>SUM(G22:G42)</f>
        <v>407459</v>
      </c>
      <c r="H45" s="840"/>
      <c r="I45" s="899"/>
      <c r="J45" s="896">
        <f t="shared" ref="J45:P45" si="6">SUM(J22:J42)</f>
        <v>1923461</v>
      </c>
      <c r="K45" s="840"/>
      <c r="L45" s="899"/>
      <c r="M45" s="896">
        <f t="shared" si="6"/>
        <v>1913507</v>
      </c>
      <c r="N45" s="840"/>
      <c r="O45" s="899"/>
      <c r="P45" s="896">
        <f t="shared" si="6"/>
        <v>9954</v>
      </c>
      <c r="Q45" s="890"/>
      <c r="R45" s="891"/>
    </row>
    <row r="46" spans="1:18" s="88" customFormat="1" ht="13.9" customHeight="1" x14ac:dyDescent="0.2">
      <c r="A46" s="885"/>
      <c r="B46" s="886"/>
      <c r="C46" s="887"/>
      <c r="D46" s="856"/>
      <c r="E46" s="856"/>
      <c r="F46" s="920"/>
      <c r="G46" s="904"/>
      <c r="H46" s="856"/>
      <c r="I46" s="920"/>
      <c r="J46" s="909"/>
      <c r="K46" s="849"/>
      <c r="L46" s="926"/>
      <c r="M46" s="904"/>
      <c r="N46" s="856"/>
      <c r="O46" s="920"/>
      <c r="P46" s="909"/>
      <c r="Q46" s="888"/>
      <c r="R46" s="970"/>
    </row>
    <row r="47" spans="1:18" s="88" customFormat="1" ht="13.9" customHeight="1" x14ac:dyDescent="0.2">
      <c r="A47" s="782"/>
      <c r="B47" s="776"/>
      <c r="C47" s="790"/>
      <c r="D47" s="772"/>
      <c r="E47" s="772"/>
      <c r="F47" s="897"/>
      <c r="G47" s="894"/>
      <c r="H47" s="772"/>
      <c r="I47" s="897"/>
      <c r="J47" s="905"/>
      <c r="K47" s="773"/>
      <c r="L47" s="921"/>
      <c r="M47" s="894"/>
      <c r="N47" s="772"/>
      <c r="O47" s="897"/>
      <c r="P47" s="894"/>
      <c r="Q47" s="758"/>
      <c r="R47" s="968"/>
    </row>
    <row r="48" spans="1:18" s="89" customFormat="1" ht="15.75" customHeight="1" x14ac:dyDescent="0.15">
      <c r="A48" s="781" t="s">
        <v>525</v>
      </c>
      <c r="B48" s="801" t="s">
        <v>526</v>
      </c>
      <c r="C48" s="802"/>
      <c r="D48" s="773"/>
      <c r="E48" s="773"/>
      <c r="F48" s="921"/>
      <c r="G48" s="905"/>
      <c r="H48" s="773"/>
      <c r="I48" s="921"/>
      <c r="J48" s="905"/>
      <c r="K48" s="773"/>
      <c r="L48" s="921"/>
      <c r="M48" s="941"/>
      <c r="N48" s="803"/>
      <c r="O48" s="959"/>
      <c r="P48" s="941"/>
      <c r="Q48" s="804"/>
      <c r="R48" s="971"/>
    </row>
    <row r="49" spans="1:18" s="89" customFormat="1" ht="15.75" customHeight="1" x14ac:dyDescent="0.15">
      <c r="A49" s="791" t="s">
        <v>527</v>
      </c>
      <c r="B49" s="776" t="s">
        <v>583</v>
      </c>
      <c r="C49" s="805" t="s">
        <v>327</v>
      </c>
      <c r="D49" s="806">
        <v>5000</v>
      </c>
      <c r="E49" s="806"/>
      <c r="F49" s="922"/>
      <c r="G49" s="906">
        <f>D49*0.27</f>
        <v>1350</v>
      </c>
      <c r="H49" s="806"/>
      <c r="I49" s="922"/>
      <c r="J49" s="936">
        <f>D49+G49</f>
        <v>6350</v>
      </c>
      <c r="K49" s="807"/>
      <c r="L49" s="951"/>
      <c r="M49" s="906">
        <v>6350</v>
      </c>
      <c r="N49" s="806"/>
      <c r="O49" s="922"/>
      <c r="P49" s="906"/>
      <c r="Q49" s="804"/>
      <c r="R49" s="971"/>
    </row>
    <row r="50" spans="1:18" s="89" customFormat="1" ht="15.75" customHeight="1" x14ac:dyDescent="0.2">
      <c r="A50" s="791" t="s">
        <v>706</v>
      </c>
      <c r="B50" s="808" t="s">
        <v>184</v>
      </c>
      <c r="C50" s="809" t="s">
        <v>327</v>
      </c>
      <c r="D50" s="777">
        <v>1000</v>
      </c>
      <c r="E50" s="777"/>
      <c r="F50" s="923"/>
      <c r="G50" s="907">
        <f>D50*0.27</f>
        <v>270</v>
      </c>
      <c r="H50" s="777"/>
      <c r="I50" s="923"/>
      <c r="J50" s="937">
        <f>SUM(D50:G50)</f>
        <v>1270</v>
      </c>
      <c r="K50" s="810"/>
      <c r="L50" s="952"/>
      <c r="M50" s="937"/>
      <c r="N50" s="810"/>
      <c r="O50" s="952"/>
      <c r="P50" s="907">
        <v>1270</v>
      </c>
      <c r="Q50" s="804"/>
      <c r="R50" s="971"/>
    </row>
    <row r="51" spans="1:18" s="89" customFormat="1" ht="27" customHeight="1" x14ac:dyDescent="0.15">
      <c r="A51" s="791" t="s">
        <v>101</v>
      </c>
      <c r="B51" s="793" t="s">
        <v>1183</v>
      </c>
      <c r="C51" s="809" t="s">
        <v>327</v>
      </c>
      <c r="D51" s="777">
        <v>14961</v>
      </c>
      <c r="E51" s="777"/>
      <c r="F51" s="923"/>
      <c r="G51" s="907">
        <v>4039</v>
      </c>
      <c r="H51" s="777"/>
      <c r="I51" s="923"/>
      <c r="J51" s="937">
        <f t="shared" ref="J51:J54" si="7">D51+G51</f>
        <v>19000</v>
      </c>
      <c r="K51" s="810"/>
      <c r="L51" s="952"/>
      <c r="M51" s="907">
        <f>J51</f>
        <v>19000</v>
      </c>
      <c r="N51" s="777"/>
      <c r="O51" s="923"/>
      <c r="P51" s="907"/>
      <c r="Q51" s="804"/>
      <c r="R51" s="971"/>
    </row>
    <row r="52" spans="1:18" s="89" customFormat="1" ht="27" customHeight="1" x14ac:dyDescent="0.15">
      <c r="A52" s="791" t="s">
        <v>322</v>
      </c>
      <c r="B52" s="793" t="s">
        <v>1085</v>
      </c>
      <c r="C52" s="809" t="s">
        <v>327</v>
      </c>
      <c r="D52" s="777">
        <v>35000</v>
      </c>
      <c r="E52" s="777"/>
      <c r="F52" s="923"/>
      <c r="G52" s="907">
        <v>9450</v>
      </c>
      <c r="H52" s="777"/>
      <c r="I52" s="923"/>
      <c r="J52" s="937">
        <f t="shared" si="7"/>
        <v>44450</v>
      </c>
      <c r="K52" s="810"/>
      <c r="L52" s="952"/>
      <c r="M52" s="907">
        <v>44450</v>
      </c>
      <c r="N52" s="777"/>
      <c r="O52" s="923"/>
      <c r="P52" s="907"/>
      <c r="Q52" s="804"/>
      <c r="R52" s="971"/>
    </row>
    <row r="53" spans="1:18" s="89" customFormat="1" ht="25.9" customHeight="1" x14ac:dyDescent="0.2">
      <c r="A53" s="791" t="s">
        <v>1147</v>
      </c>
      <c r="B53" s="808" t="s">
        <v>1084</v>
      </c>
      <c r="C53" s="809" t="s">
        <v>327</v>
      </c>
      <c r="D53" s="777">
        <v>17970</v>
      </c>
      <c r="E53" s="777"/>
      <c r="F53" s="923"/>
      <c r="G53" s="907">
        <v>4852</v>
      </c>
      <c r="H53" s="777"/>
      <c r="I53" s="923"/>
      <c r="J53" s="937">
        <f t="shared" si="7"/>
        <v>22822</v>
      </c>
      <c r="K53" s="810"/>
      <c r="L53" s="952"/>
      <c r="M53" s="937">
        <v>22822</v>
      </c>
      <c r="N53" s="810"/>
      <c r="O53" s="952"/>
      <c r="P53" s="907"/>
      <c r="Q53" s="804"/>
      <c r="R53" s="971"/>
    </row>
    <row r="54" spans="1:18" s="89" customFormat="1" ht="25.9" customHeight="1" x14ac:dyDescent="0.2">
      <c r="A54" s="791" t="s">
        <v>957</v>
      </c>
      <c r="B54" s="808" t="s">
        <v>1148</v>
      </c>
      <c r="C54" s="809" t="s">
        <v>327</v>
      </c>
      <c r="D54" s="777">
        <v>248</v>
      </c>
      <c r="E54" s="777"/>
      <c r="F54" s="923"/>
      <c r="G54" s="907">
        <v>67</v>
      </c>
      <c r="H54" s="777"/>
      <c r="I54" s="923"/>
      <c r="J54" s="937">
        <f t="shared" si="7"/>
        <v>315</v>
      </c>
      <c r="K54" s="810"/>
      <c r="L54" s="952"/>
      <c r="M54" s="937"/>
      <c r="N54" s="810"/>
      <c r="O54" s="952"/>
      <c r="P54" s="907">
        <f>J54</f>
        <v>315</v>
      </c>
      <c r="Q54" s="804"/>
      <c r="R54" s="971"/>
    </row>
    <row r="55" spans="1:18" s="89" customFormat="1" ht="25.9" customHeight="1" thickBot="1" x14ac:dyDescent="0.25">
      <c r="A55" s="873"/>
      <c r="B55" s="874"/>
      <c r="C55" s="875"/>
      <c r="D55" s="841"/>
      <c r="E55" s="841"/>
      <c r="F55" s="924"/>
      <c r="G55" s="908"/>
      <c r="H55" s="841"/>
      <c r="I55" s="924"/>
      <c r="J55" s="938"/>
      <c r="K55" s="842"/>
      <c r="L55" s="953"/>
      <c r="M55" s="938"/>
      <c r="N55" s="842"/>
      <c r="O55" s="953"/>
      <c r="P55" s="908"/>
      <c r="Q55" s="876"/>
      <c r="R55" s="972"/>
    </row>
    <row r="56" spans="1:18" s="89" customFormat="1" ht="12" customHeight="1" thickBot="1" x14ac:dyDescent="0.2">
      <c r="A56" s="839"/>
      <c r="B56" s="870" t="s">
        <v>528</v>
      </c>
      <c r="C56" s="880"/>
      <c r="D56" s="836">
        <f>SUM(D49:D54)</f>
        <v>74179</v>
      </c>
      <c r="E56" s="836"/>
      <c r="F56" s="925"/>
      <c r="G56" s="641">
        <f t="shared" ref="G56:P56" si="8">SUM(G49:G54)</f>
        <v>20028</v>
      </c>
      <c r="H56" s="836"/>
      <c r="I56" s="925"/>
      <c r="J56" s="641">
        <f t="shared" si="8"/>
        <v>94207</v>
      </c>
      <c r="K56" s="836"/>
      <c r="L56" s="925"/>
      <c r="M56" s="641">
        <f t="shared" si="8"/>
        <v>92622</v>
      </c>
      <c r="N56" s="836"/>
      <c r="O56" s="925"/>
      <c r="P56" s="641">
        <f t="shared" si="8"/>
        <v>1585</v>
      </c>
      <c r="Q56" s="881"/>
      <c r="R56" s="882"/>
    </row>
    <row r="57" spans="1:18" s="89" customFormat="1" ht="12" customHeight="1" x14ac:dyDescent="0.15">
      <c r="A57" s="847"/>
      <c r="B57" s="877"/>
      <c r="C57" s="878"/>
      <c r="D57" s="849"/>
      <c r="E57" s="849"/>
      <c r="F57" s="926"/>
      <c r="G57" s="909"/>
      <c r="H57" s="849"/>
      <c r="I57" s="926"/>
      <c r="J57" s="909"/>
      <c r="K57" s="849"/>
      <c r="L57" s="926"/>
      <c r="M57" s="909"/>
      <c r="N57" s="849"/>
      <c r="O57" s="926"/>
      <c r="P57" s="909"/>
      <c r="Q57" s="879"/>
      <c r="R57" s="973"/>
    </row>
    <row r="58" spans="1:18" s="89" customFormat="1" ht="12" customHeight="1" x14ac:dyDescent="0.15">
      <c r="A58" s="781"/>
      <c r="B58" s="801"/>
      <c r="C58" s="802"/>
      <c r="D58" s="773"/>
      <c r="E58" s="773"/>
      <c r="F58" s="921"/>
      <c r="G58" s="905"/>
      <c r="H58" s="773"/>
      <c r="I58" s="921"/>
      <c r="J58" s="905"/>
      <c r="K58" s="773"/>
      <c r="L58" s="921"/>
      <c r="M58" s="941"/>
      <c r="N58" s="803"/>
      <c r="O58" s="959"/>
      <c r="P58" s="941"/>
      <c r="Q58" s="804"/>
      <c r="R58" s="971"/>
    </row>
    <row r="59" spans="1:18" s="78" customFormat="1" ht="15" customHeight="1" x14ac:dyDescent="0.2">
      <c r="A59" s="781" t="s">
        <v>529</v>
      </c>
      <c r="B59" s="771" t="s">
        <v>530</v>
      </c>
      <c r="C59" s="773"/>
      <c r="D59" s="773"/>
      <c r="E59" s="773"/>
      <c r="F59" s="921"/>
      <c r="G59" s="905"/>
      <c r="H59" s="773"/>
      <c r="I59" s="921"/>
      <c r="J59" s="905"/>
      <c r="K59" s="773"/>
      <c r="L59" s="921"/>
      <c r="M59" s="901"/>
      <c r="N59" s="778"/>
      <c r="O59" s="917"/>
      <c r="P59" s="901"/>
      <c r="Q59" s="769"/>
      <c r="R59" s="928"/>
    </row>
    <row r="60" spans="1:18" s="78" customFormat="1" ht="15" customHeight="1" thickBot="1" x14ac:dyDescent="0.25">
      <c r="A60" s="871"/>
      <c r="B60" s="819"/>
      <c r="C60" s="872"/>
      <c r="D60" s="820"/>
      <c r="E60" s="820"/>
      <c r="F60" s="927"/>
      <c r="G60" s="910"/>
      <c r="H60" s="820"/>
      <c r="I60" s="927"/>
      <c r="J60" s="912"/>
      <c r="K60" s="821"/>
      <c r="L60" s="929"/>
      <c r="M60" s="895"/>
      <c r="N60" s="822"/>
      <c r="O60" s="898"/>
      <c r="P60" s="895"/>
      <c r="Q60" s="823"/>
      <c r="R60" s="974"/>
    </row>
    <row r="61" spans="1:18" s="78" customFormat="1" ht="13.5" customHeight="1" thickBot="1" x14ac:dyDescent="0.25">
      <c r="A61" s="839"/>
      <c r="B61" s="825" t="s">
        <v>531</v>
      </c>
      <c r="C61" s="836"/>
      <c r="D61" s="836">
        <f>SUM(D60)</f>
        <v>0</v>
      </c>
      <c r="E61" s="836"/>
      <c r="F61" s="925"/>
      <c r="G61" s="641">
        <f>SUM(G60)</f>
        <v>0</v>
      </c>
      <c r="H61" s="836"/>
      <c r="I61" s="925"/>
      <c r="J61" s="641">
        <f>SUM(J60)</f>
        <v>0</v>
      </c>
      <c r="K61" s="836"/>
      <c r="L61" s="925"/>
      <c r="M61" s="641">
        <f>SUM(M60)</f>
        <v>0</v>
      </c>
      <c r="N61" s="836"/>
      <c r="O61" s="925"/>
      <c r="P61" s="641">
        <f>SUM(P60)</f>
        <v>0</v>
      </c>
      <c r="Q61" s="859"/>
      <c r="R61" s="860"/>
    </row>
    <row r="62" spans="1:18" s="78" customFormat="1" ht="13.5" customHeight="1" x14ac:dyDescent="0.2">
      <c r="A62" s="847"/>
      <c r="B62" s="848"/>
      <c r="C62" s="849"/>
      <c r="D62" s="849"/>
      <c r="E62" s="849"/>
      <c r="F62" s="926"/>
      <c r="G62" s="909"/>
      <c r="H62" s="849"/>
      <c r="I62" s="926"/>
      <c r="J62" s="909"/>
      <c r="K62" s="849"/>
      <c r="L62" s="926"/>
      <c r="M62" s="909"/>
      <c r="N62" s="849"/>
      <c r="O62" s="926"/>
      <c r="P62" s="909"/>
      <c r="Q62" s="858"/>
      <c r="R62" s="975"/>
    </row>
    <row r="63" spans="1:18" s="78" customFormat="1" ht="13.5" customHeight="1" x14ac:dyDescent="0.2">
      <c r="A63" s="781"/>
      <c r="B63" s="771"/>
      <c r="C63" s="773"/>
      <c r="D63" s="773"/>
      <c r="E63" s="773"/>
      <c r="F63" s="921"/>
      <c r="G63" s="905"/>
      <c r="H63" s="773"/>
      <c r="I63" s="921"/>
      <c r="J63" s="905"/>
      <c r="K63" s="773"/>
      <c r="L63" s="921"/>
      <c r="M63" s="901"/>
      <c r="N63" s="778"/>
      <c r="O63" s="917"/>
      <c r="P63" s="901"/>
      <c r="Q63" s="769"/>
      <c r="R63" s="928"/>
    </row>
    <row r="64" spans="1:18" s="78" customFormat="1" ht="13.5" customHeight="1" x14ac:dyDescent="0.2">
      <c r="A64" s="781" t="s">
        <v>90</v>
      </c>
      <c r="B64" s="771" t="s">
        <v>185</v>
      </c>
      <c r="C64" s="773"/>
      <c r="D64" s="769"/>
      <c r="E64" s="769"/>
      <c r="F64" s="928"/>
      <c r="G64" s="911"/>
      <c r="H64" s="769"/>
      <c r="I64" s="928"/>
      <c r="J64" s="894"/>
      <c r="K64" s="772"/>
      <c r="L64" s="897"/>
      <c r="M64" s="901"/>
      <c r="N64" s="778"/>
      <c r="O64" s="917"/>
      <c r="P64" s="894"/>
      <c r="Q64" s="769"/>
      <c r="R64" s="928"/>
    </row>
    <row r="65" spans="1:18" s="78" customFormat="1" ht="20.25" customHeight="1" x14ac:dyDescent="0.2">
      <c r="A65" s="782" t="s">
        <v>527</v>
      </c>
      <c r="B65" s="786" t="s">
        <v>1086</v>
      </c>
      <c r="C65" s="773" t="s">
        <v>327</v>
      </c>
      <c r="D65" s="777">
        <v>8000</v>
      </c>
      <c r="E65" s="777"/>
      <c r="F65" s="923"/>
      <c r="G65" s="907">
        <f>D65*0.27</f>
        <v>2160</v>
      </c>
      <c r="H65" s="777"/>
      <c r="I65" s="923"/>
      <c r="J65" s="937">
        <f>SUM(D65:G65)</f>
        <v>10160</v>
      </c>
      <c r="K65" s="810"/>
      <c r="L65" s="952"/>
      <c r="M65" s="900"/>
      <c r="N65" s="783"/>
      <c r="O65" s="916"/>
      <c r="P65" s="907">
        <f>SUM(J65:M65)</f>
        <v>10160</v>
      </c>
      <c r="Q65" s="769"/>
      <c r="R65" s="928"/>
    </row>
    <row r="66" spans="1:18" s="78" customFormat="1" ht="25.5" customHeight="1" x14ac:dyDescent="0.2">
      <c r="A66" s="782" t="s">
        <v>706</v>
      </c>
      <c r="B66" s="811" t="s">
        <v>1143</v>
      </c>
      <c r="C66" s="809" t="s">
        <v>327</v>
      </c>
      <c r="D66" s="777">
        <v>5000</v>
      </c>
      <c r="E66" s="777"/>
      <c r="F66" s="923"/>
      <c r="G66" s="907">
        <v>972</v>
      </c>
      <c r="H66" s="777"/>
      <c r="I66" s="923"/>
      <c r="J66" s="937">
        <f>SUM(D66:G66)</f>
        <v>5972</v>
      </c>
      <c r="K66" s="810"/>
      <c r="L66" s="952"/>
      <c r="M66" s="900"/>
      <c r="N66" s="783"/>
      <c r="O66" s="916"/>
      <c r="P66" s="907">
        <f>J66</f>
        <v>5972</v>
      </c>
      <c r="Q66" s="769"/>
      <c r="R66" s="928"/>
    </row>
    <row r="67" spans="1:18" s="78" customFormat="1" ht="24" customHeight="1" x14ac:dyDescent="0.2">
      <c r="A67" s="782" t="s">
        <v>101</v>
      </c>
      <c r="B67" s="786" t="s">
        <v>1144</v>
      </c>
      <c r="C67" s="809" t="s">
        <v>327</v>
      </c>
      <c r="D67" s="777">
        <v>2000</v>
      </c>
      <c r="E67" s="777"/>
      <c r="F67" s="923"/>
      <c r="G67" s="907">
        <v>126</v>
      </c>
      <c r="H67" s="777"/>
      <c r="I67" s="923"/>
      <c r="J67" s="937">
        <f t="shared" ref="J67" si="9">SUM(D67:G67)</f>
        <v>2126</v>
      </c>
      <c r="K67" s="810"/>
      <c r="L67" s="952"/>
      <c r="M67" s="900">
        <f t="shared" ref="M67" si="10">J67</f>
        <v>2126</v>
      </c>
      <c r="N67" s="783"/>
      <c r="O67" s="916"/>
      <c r="P67" s="907"/>
      <c r="Q67" s="785"/>
      <c r="R67" s="928"/>
    </row>
    <row r="68" spans="1:18" s="78" customFormat="1" ht="24" customHeight="1" x14ac:dyDescent="0.2">
      <c r="A68" s="782" t="s">
        <v>322</v>
      </c>
      <c r="B68" s="786" t="s">
        <v>1155</v>
      </c>
      <c r="C68" s="809" t="s">
        <v>327</v>
      </c>
      <c r="D68" s="777">
        <v>10000</v>
      </c>
      <c r="E68" s="777"/>
      <c r="F68" s="923"/>
      <c r="G68" s="907">
        <v>2700</v>
      </c>
      <c r="H68" s="777"/>
      <c r="I68" s="923"/>
      <c r="J68" s="937">
        <f>SUM(D68:G68)</f>
        <v>12700</v>
      </c>
      <c r="K68" s="810"/>
      <c r="L68" s="952"/>
      <c r="M68" s="900"/>
      <c r="N68" s="783"/>
      <c r="O68" s="916"/>
      <c r="P68" s="907">
        <f>J68</f>
        <v>12700</v>
      </c>
      <c r="Q68" s="785"/>
      <c r="R68" s="928"/>
    </row>
    <row r="69" spans="1:18" s="78" customFormat="1" ht="13.5" customHeight="1" thickBot="1" x14ac:dyDescent="0.25">
      <c r="A69" s="818"/>
      <c r="B69" s="819"/>
      <c r="C69" s="821"/>
      <c r="D69" s="820"/>
      <c r="E69" s="820"/>
      <c r="F69" s="927"/>
      <c r="G69" s="910"/>
      <c r="H69" s="820"/>
      <c r="I69" s="927"/>
      <c r="J69" s="910"/>
      <c r="K69" s="820"/>
      <c r="L69" s="927"/>
      <c r="M69" s="895"/>
      <c r="N69" s="822"/>
      <c r="O69" s="898"/>
      <c r="P69" s="910"/>
      <c r="Q69" s="823"/>
      <c r="R69" s="974"/>
    </row>
    <row r="70" spans="1:18" s="78" customFormat="1" ht="12.75" customHeight="1" thickBot="1" x14ac:dyDescent="0.25">
      <c r="A70" s="824"/>
      <c r="B70" s="825" t="s">
        <v>186</v>
      </c>
      <c r="C70" s="836"/>
      <c r="D70" s="836">
        <f>SUM(D65:D69)</f>
        <v>25000</v>
      </c>
      <c r="E70" s="836"/>
      <c r="F70" s="925"/>
      <c r="G70" s="641">
        <f>SUM(G65:G69)</f>
        <v>5958</v>
      </c>
      <c r="H70" s="836"/>
      <c r="I70" s="925"/>
      <c r="J70" s="641">
        <f>SUM(J65:J69)</f>
        <v>30958</v>
      </c>
      <c r="K70" s="836"/>
      <c r="L70" s="925"/>
      <c r="M70" s="641">
        <f>SUM(M65:M69)</f>
        <v>2126</v>
      </c>
      <c r="N70" s="836"/>
      <c r="O70" s="925"/>
      <c r="P70" s="641">
        <f>SUM(P65:P69)</f>
        <v>28832</v>
      </c>
      <c r="Q70" s="859"/>
      <c r="R70" s="860"/>
    </row>
    <row r="71" spans="1:18" s="78" customFormat="1" ht="12.75" customHeight="1" x14ac:dyDescent="0.2">
      <c r="A71" s="854"/>
      <c r="B71" s="848"/>
      <c r="C71" s="849"/>
      <c r="D71" s="849"/>
      <c r="E71" s="849"/>
      <c r="F71" s="926"/>
      <c r="G71" s="909"/>
      <c r="H71" s="849"/>
      <c r="I71" s="926"/>
      <c r="J71" s="909"/>
      <c r="K71" s="849"/>
      <c r="L71" s="926"/>
      <c r="M71" s="942"/>
      <c r="N71" s="857"/>
      <c r="O71" s="960"/>
      <c r="P71" s="942"/>
      <c r="Q71" s="858"/>
      <c r="R71" s="975"/>
    </row>
    <row r="72" spans="1:18" s="78" customFormat="1" ht="24" customHeight="1" x14ac:dyDescent="0.2">
      <c r="A72" s="781" t="s">
        <v>91</v>
      </c>
      <c r="B72" s="771" t="s">
        <v>73</v>
      </c>
      <c r="C72" s="773"/>
      <c r="D72" s="773"/>
      <c r="E72" s="773"/>
      <c r="F72" s="921"/>
      <c r="G72" s="905"/>
      <c r="H72" s="773"/>
      <c r="I72" s="921"/>
      <c r="J72" s="905"/>
      <c r="K72" s="773"/>
      <c r="L72" s="921"/>
      <c r="M72" s="901"/>
      <c r="N72" s="778"/>
      <c r="O72" s="917"/>
      <c r="P72" s="901"/>
      <c r="Q72" s="769"/>
      <c r="R72" s="928"/>
    </row>
    <row r="73" spans="1:18" s="78" customFormat="1" ht="13.5" customHeight="1" thickBot="1" x14ac:dyDescent="0.25">
      <c r="A73" s="818"/>
      <c r="B73" s="868"/>
      <c r="C73" s="820"/>
      <c r="D73" s="821"/>
      <c r="E73" s="821"/>
      <c r="F73" s="929"/>
      <c r="G73" s="912"/>
      <c r="H73" s="821"/>
      <c r="I73" s="929"/>
      <c r="J73" s="910"/>
      <c r="K73" s="820"/>
      <c r="L73" s="927"/>
      <c r="M73" s="895"/>
      <c r="N73" s="822"/>
      <c r="O73" s="898"/>
      <c r="P73" s="895"/>
      <c r="Q73" s="823"/>
      <c r="R73" s="974"/>
    </row>
    <row r="74" spans="1:18" s="78" customFormat="1" ht="22.5" customHeight="1" thickBot="1" x14ac:dyDescent="0.25">
      <c r="A74" s="824"/>
      <c r="B74" s="870" t="s">
        <v>532</v>
      </c>
      <c r="C74" s="836"/>
      <c r="D74" s="836">
        <f>SUM(D73:D73)</f>
        <v>0</v>
      </c>
      <c r="E74" s="836"/>
      <c r="F74" s="925"/>
      <c r="G74" s="641">
        <f>SUM(G73:G73)</f>
        <v>0</v>
      </c>
      <c r="H74" s="836"/>
      <c r="I74" s="925"/>
      <c r="J74" s="641">
        <f>SUM(J73:J73)</f>
        <v>0</v>
      </c>
      <c r="K74" s="836"/>
      <c r="L74" s="925"/>
      <c r="M74" s="641">
        <f>SUM(M73:M73)</f>
        <v>0</v>
      </c>
      <c r="N74" s="836"/>
      <c r="O74" s="925"/>
      <c r="P74" s="641">
        <f>SUM(P73:P73)</f>
        <v>0</v>
      </c>
      <c r="Q74" s="859"/>
      <c r="R74" s="860"/>
    </row>
    <row r="75" spans="1:18" s="78" customFormat="1" ht="12.75" customHeight="1" x14ac:dyDescent="0.2">
      <c r="A75" s="854"/>
      <c r="B75" s="869"/>
      <c r="C75" s="856"/>
      <c r="D75" s="849"/>
      <c r="E75" s="849"/>
      <c r="F75" s="926"/>
      <c r="G75" s="909"/>
      <c r="H75" s="849"/>
      <c r="I75" s="926"/>
      <c r="J75" s="909"/>
      <c r="K75" s="849"/>
      <c r="L75" s="926"/>
      <c r="M75" s="942"/>
      <c r="N75" s="857"/>
      <c r="O75" s="960"/>
      <c r="P75" s="942"/>
      <c r="Q75" s="858"/>
      <c r="R75" s="975"/>
    </row>
    <row r="76" spans="1:18" s="78" customFormat="1" ht="12" customHeight="1" x14ac:dyDescent="0.2">
      <c r="A76" s="782"/>
      <c r="B76" s="786"/>
      <c r="C76" s="772"/>
      <c r="D76" s="772"/>
      <c r="E76" s="772"/>
      <c r="F76" s="897"/>
      <c r="G76" s="894"/>
      <c r="H76" s="772"/>
      <c r="I76" s="897"/>
      <c r="J76" s="905"/>
      <c r="K76" s="773"/>
      <c r="L76" s="921"/>
      <c r="M76" s="901"/>
      <c r="N76" s="778"/>
      <c r="O76" s="917"/>
      <c r="P76" s="901"/>
      <c r="Q76" s="769"/>
      <c r="R76" s="928"/>
    </row>
    <row r="77" spans="1:18" s="78" customFormat="1" ht="12.75" customHeight="1" x14ac:dyDescent="0.2">
      <c r="A77" s="781" t="s">
        <v>92</v>
      </c>
      <c r="B77" s="771" t="s">
        <v>320</v>
      </c>
      <c r="C77" s="772"/>
      <c r="D77" s="772"/>
      <c r="E77" s="772"/>
      <c r="F77" s="897"/>
      <c r="G77" s="894"/>
      <c r="H77" s="772"/>
      <c r="I77" s="897"/>
      <c r="J77" s="905"/>
      <c r="K77" s="773"/>
      <c r="L77" s="921"/>
      <c r="M77" s="901"/>
      <c r="N77" s="778"/>
      <c r="O77" s="917"/>
      <c r="P77" s="901"/>
      <c r="Q77" s="769"/>
      <c r="R77" s="928"/>
    </row>
    <row r="78" spans="1:18" s="90" customFormat="1" ht="13.5" customHeight="1" x14ac:dyDescent="0.2">
      <c r="A78" s="782" t="s">
        <v>508</v>
      </c>
      <c r="B78" s="786" t="s">
        <v>74</v>
      </c>
      <c r="C78" s="772"/>
      <c r="D78" s="772">
        <v>29582</v>
      </c>
      <c r="E78" s="772"/>
      <c r="F78" s="897"/>
      <c r="G78" s="894"/>
      <c r="H78" s="772"/>
      <c r="I78" s="897"/>
      <c r="J78" s="905">
        <f>SUM(D78:G78)</f>
        <v>29582</v>
      </c>
      <c r="K78" s="773"/>
      <c r="L78" s="921"/>
      <c r="M78" s="894">
        <f>J78</f>
        <v>29582</v>
      </c>
      <c r="N78" s="772"/>
      <c r="O78" s="897"/>
      <c r="P78" s="894"/>
      <c r="Q78" s="812"/>
      <c r="R78" s="976"/>
    </row>
    <row r="79" spans="1:18" s="90" customFormat="1" ht="13.5" customHeight="1" x14ac:dyDescent="0.2">
      <c r="A79" s="782" t="s">
        <v>516</v>
      </c>
      <c r="B79" s="786" t="s">
        <v>1038</v>
      </c>
      <c r="C79" s="772"/>
      <c r="D79" s="772">
        <v>3670</v>
      </c>
      <c r="E79" s="772"/>
      <c r="F79" s="897"/>
      <c r="G79" s="894"/>
      <c r="H79" s="772"/>
      <c r="I79" s="897"/>
      <c r="J79" s="905">
        <f>SUM(D79:G79)</f>
        <v>3670</v>
      </c>
      <c r="K79" s="773"/>
      <c r="L79" s="921"/>
      <c r="M79" s="894">
        <f>J79</f>
        <v>3670</v>
      </c>
      <c r="N79" s="772"/>
      <c r="O79" s="897"/>
      <c r="P79" s="894"/>
      <c r="Q79" s="812"/>
      <c r="R79" s="976"/>
    </row>
    <row r="80" spans="1:18" s="90" customFormat="1" ht="24.75" customHeight="1" x14ac:dyDescent="0.2">
      <c r="A80" s="782" t="s">
        <v>517</v>
      </c>
      <c r="B80" s="813" t="s">
        <v>956</v>
      </c>
      <c r="C80" s="783"/>
      <c r="D80" s="783">
        <v>16000</v>
      </c>
      <c r="E80" s="783"/>
      <c r="F80" s="916"/>
      <c r="G80" s="900"/>
      <c r="H80" s="783"/>
      <c r="I80" s="916"/>
      <c r="J80" s="934">
        <f>D80+G80</f>
        <v>16000</v>
      </c>
      <c r="K80" s="784"/>
      <c r="L80" s="949"/>
      <c r="M80" s="900"/>
      <c r="N80" s="783"/>
      <c r="O80" s="916"/>
      <c r="P80" s="900">
        <f>J80</f>
        <v>16000</v>
      </c>
      <c r="Q80" s="812"/>
      <c r="R80" s="976"/>
    </row>
    <row r="81" spans="1:18" s="90" customFormat="1" ht="12.75" customHeight="1" x14ac:dyDescent="0.2">
      <c r="A81" s="782" t="s">
        <v>518</v>
      </c>
      <c r="B81" s="813" t="s">
        <v>305</v>
      </c>
      <c r="C81" s="783"/>
      <c r="D81" s="783">
        <v>15000</v>
      </c>
      <c r="E81" s="783"/>
      <c r="F81" s="916"/>
      <c r="G81" s="900"/>
      <c r="H81" s="783"/>
      <c r="I81" s="916"/>
      <c r="J81" s="934">
        <f>D81+G81</f>
        <v>15000</v>
      </c>
      <c r="K81" s="784"/>
      <c r="L81" s="949"/>
      <c r="M81" s="900"/>
      <c r="N81" s="783"/>
      <c r="O81" s="916"/>
      <c r="P81" s="900">
        <f>J81</f>
        <v>15000</v>
      </c>
      <c r="Q81" s="812"/>
      <c r="R81" s="976"/>
    </row>
    <row r="82" spans="1:18" s="90" customFormat="1" ht="12.75" customHeight="1" x14ac:dyDescent="0.2">
      <c r="A82" s="782" t="s">
        <v>519</v>
      </c>
      <c r="B82" s="813" t="s">
        <v>1151</v>
      </c>
      <c r="C82" s="783"/>
      <c r="D82" s="783">
        <v>1520</v>
      </c>
      <c r="E82" s="783"/>
      <c r="F82" s="916"/>
      <c r="G82" s="900"/>
      <c r="H82" s="783"/>
      <c r="I82" s="916"/>
      <c r="J82" s="934">
        <f>D82+G82</f>
        <v>1520</v>
      </c>
      <c r="K82" s="784"/>
      <c r="L82" s="949"/>
      <c r="M82" s="900"/>
      <c r="N82" s="783"/>
      <c r="O82" s="916"/>
      <c r="P82" s="900">
        <f>J82</f>
        <v>1520</v>
      </c>
      <c r="Q82" s="812"/>
      <c r="R82" s="976"/>
    </row>
    <row r="83" spans="1:18" s="90" customFormat="1" ht="14.25" customHeight="1" thickBot="1" x14ac:dyDescent="0.25">
      <c r="A83" s="818"/>
      <c r="B83" s="866"/>
      <c r="C83" s="853"/>
      <c r="D83" s="853"/>
      <c r="E83" s="853"/>
      <c r="F83" s="919"/>
      <c r="G83" s="903"/>
      <c r="H83" s="853"/>
      <c r="I83" s="919"/>
      <c r="J83" s="935"/>
      <c r="K83" s="867"/>
      <c r="L83" s="950"/>
      <c r="M83" s="903"/>
      <c r="N83" s="853"/>
      <c r="O83" s="919"/>
      <c r="P83" s="903"/>
      <c r="Q83" s="865"/>
      <c r="R83" s="977"/>
    </row>
    <row r="84" spans="1:18" s="78" customFormat="1" ht="13.5" customHeight="1" thickBot="1" x14ac:dyDescent="0.25">
      <c r="A84" s="824"/>
      <c r="B84" s="825" t="s">
        <v>533</v>
      </c>
      <c r="C84" s="836"/>
      <c r="D84" s="836">
        <f>SUM(D78:D83)</f>
        <v>65772</v>
      </c>
      <c r="E84" s="836"/>
      <c r="F84" s="925"/>
      <c r="G84" s="641">
        <f>SUM(G78:G83)</f>
        <v>0</v>
      </c>
      <c r="H84" s="836"/>
      <c r="I84" s="925"/>
      <c r="J84" s="641">
        <f>SUM(J78:J83)</f>
        <v>65772</v>
      </c>
      <c r="K84" s="836"/>
      <c r="L84" s="925"/>
      <c r="M84" s="641">
        <f>SUM(M78:M83)</f>
        <v>33252</v>
      </c>
      <c r="N84" s="836"/>
      <c r="O84" s="925"/>
      <c r="P84" s="641">
        <f>SUM(P78:P83)</f>
        <v>32520</v>
      </c>
      <c r="Q84" s="859"/>
      <c r="R84" s="860"/>
    </row>
    <row r="85" spans="1:18" s="78" customFormat="1" ht="12.75" customHeight="1" x14ac:dyDescent="0.2">
      <c r="A85" s="854"/>
      <c r="B85" s="848"/>
      <c r="C85" s="856"/>
      <c r="D85" s="856"/>
      <c r="E85" s="856"/>
      <c r="F85" s="920"/>
      <c r="G85" s="904"/>
      <c r="H85" s="856"/>
      <c r="I85" s="920"/>
      <c r="J85" s="909"/>
      <c r="K85" s="849"/>
      <c r="L85" s="926"/>
      <c r="M85" s="942"/>
      <c r="N85" s="857"/>
      <c r="O85" s="960"/>
      <c r="P85" s="942"/>
      <c r="Q85" s="858"/>
      <c r="R85" s="975"/>
    </row>
    <row r="86" spans="1:18" ht="12.75" customHeight="1" x14ac:dyDescent="0.2">
      <c r="A86" s="781" t="s">
        <v>537</v>
      </c>
      <c r="B86" s="771" t="s">
        <v>1158</v>
      </c>
      <c r="C86" s="772"/>
      <c r="D86" s="772"/>
      <c r="E86" s="772"/>
      <c r="F86" s="897"/>
      <c r="G86" s="894"/>
      <c r="H86" s="772"/>
      <c r="I86" s="897"/>
      <c r="J86" s="905"/>
      <c r="K86" s="773"/>
      <c r="L86" s="921"/>
      <c r="M86" s="940"/>
      <c r="N86" s="774"/>
      <c r="O86" s="958"/>
      <c r="P86" s="940"/>
      <c r="Q86" s="775"/>
      <c r="R86" s="966"/>
    </row>
    <row r="87" spans="1:18" s="90" customFormat="1" ht="21.75" customHeight="1" x14ac:dyDescent="0.2">
      <c r="A87" s="782" t="s">
        <v>527</v>
      </c>
      <c r="B87" s="786" t="s">
        <v>534</v>
      </c>
      <c r="C87" s="772"/>
      <c r="D87" s="772">
        <v>800</v>
      </c>
      <c r="E87" s="772"/>
      <c r="F87" s="897"/>
      <c r="G87" s="894"/>
      <c r="H87" s="772"/>
      <c r="I87" s="897"/>
      <c r="J87" s="905">
        <f>SUM(D87:G87)</f>
        <v>800</v>
      </c>
      <c r="K87" s="773"/>
      <c r="L87" s="921"/>
      <c r="M87" s="943"/>
      <c r="N87" s="814"/>
      <c r="O87" s="961"/>
      <c r="P87" s="894">
        <f>J87</f>
        <v>800</v>
      </c>
      <c r="Q87" s="812"/>
      <c r="R87" s="976"/>
    </row>
    <row r="88" spans="1:18" s="90" customFormat="1" ht="21.75" customHeight="1" thickBot="1" x14ac:dyDescent="0.25">
      <c r="A88" s="818" t="s">
        <v>706</v>
      </c>
      <c r="B88" s="819" t="s">
        <v>535</v>
      </c>
      <c r="C88" s="820"/>
      <c r="D88" s="820">
        <v>2200</v>
      </c>
      <c r="E88" s="820"/>
      <c r="F88" s="927"/>
      <c r="G88" s="910"/>
      <c r="H88" s="820"/>
      <c r="I88" s="927"/>
      <c r="J88" s="912">
        <f>SUM(D88:G88)</f>
        <v>2200</v>
      </c>
      <c r="K88" s="821"/>
      <c r="L88" s="929"/>
      <c r="M88" s="944"/>
      <c r="N88" s="864"/>
      <c r="O88" s="962"/>
      <c r="P88" s="910">
        <f>J88</f>
        <v>2200</v>
      </c>
      <c r="Q88" s="865"/>
      <c r="R88" s="977"/>
    </row>
    <row r="89" spans="1:18" s="78" customFormat="1" ht="21.75" customHeight="1" thickBot="1" x14ac:dyDescent="0.25">
      <c r="A89" s="824"/>
      <c r="B89" s="825" t="s">
        <v>536</v>
      </c>
      <c r="C89" s="836"/>
      <c r="D89" s="836">
        <f>SUM(D86:D88)</f>
        <v>3000</v>
      </c>
      <c r="E89" s="836"/>
      <c r="F89" s="925"/>
      <c r="G89" s="641">
        <f>SUM(G86:G88)</f>
        <v>0</v>
      </c>
      <c r="H89" s="836"/>
      <c r="I89" s="925"/>
      <c r="J89" s="641">
        <f>SUM(J86:J88)</f>
        <v>3000</v>
      </c>
      <c r="K89" s="836"/>
      <c r="L89" s="925"/>
      <c r="M89" s="641">
        <f>SUM(M86:M88)</f>
        <v>0</v>
      </c>
      <c r="N89" s="836"/>
      <c r="O89" s="925"/>
      <c r="P89" s="641">
        <f>SUM(P86:P88)</f>
        <v>3000</v>
      </c>
      <c r="Q89" s="859"/>
      <c r="R89" s="860"/>
    </row>
    <row r="90" spans="1:18" s="78" customFormat="1" ht="13.5" customHeight="1" x14ac:dyDescent="0.2">
      <c r="A90" s="854"/>
      <c r="B90" s="848"/>
      <c r="C90" s="849"/>
      <c r="D90" s="849"/>
      <c r="E90" s="849"/>
      <c r="F90" s="926"/>
      <c r="G90" s="909"/>
      <c r="H90" s="849"/>
      <c r="I90" s="926"/>
      <c r="J90" s="909"/>
      <c r="K90" s="849"/>
      <c r="L90" s="926"/>
      <c r="M90" s="909"/>
      <c r="N90" s="849"/>
      <c r="O90" s="926"/>
      <c r="P90" s="909"/>
      <c r="Q90" s="858"/>
      <c r="R90" s="975"/>
    </row>
    <row r="91" spans="1:18" s="78" customFormat="1" ht="13.5" customHeight="1" thickBot="1" x14ac:dyDescent="0.25">
      <c r="A91" s="818"/>
      <c r="B91" s="863"/>
      <c r="C91" s="821"/>
      <c r="D91" s="821"/>
      <c r="E91" s="821"/>
      <c r="F91" s="929"/>
      <c r="G91" s="912"/>
      <c r="H91" s="821"/>
      <c r="I91" s="929"/>
      <c r="J91" s="912"/>
      <c r="K91" s="821"/>
      <c r="L91" s="929"/>
      <c r="M91" s="895"/>
      <c r="N91" s="822"/>
      <c r="O91" s="898"/>
      <c r="P91" s="895"/>
      <c r="Q91" s="823"/>
      <c r="R91" s="974"/>
    </row>
    <row r="92" spans="1:18" s="78" customFormat="1" ht="13.5" customHeight="1" thickBot="1" x14ac:dyDescent="0.25">
      <c r="A92" s="824"/>
      <c r="B92" s="825" t="s">
        <v>187</v>
      </c>
      <c r="C92" s="836"/>
      <c r="D92" s="836">
        <f>D14+D19+D45+D56+D61+D70+D74+D84+D89</f>
        <v>1691827</v>
      </c>
      <c r="E92" s="836"/>
      <c r="F92" s="925"/>
      <c r="G92" s="641">
        <f>G14+G19+G45+G56+G61+G70+G74+G84+G89</f>
        <v>435571</v>
      </c>
      <c r="H92" s="836"/>
      <c r="I92" s="925"/>
      <c r="J92" s="641">
        <f>J14+J19+J45+J56+J61+J70+J74+J84+J89</f>
        <v>2127398</v>
      </c>
      <c r="K92" s="836"/>
      <c r="L92" s="925"/>
      <c r="M92" s="641">
        <f>M14+M19+M45+M56+M61+M70+M74+M84+M89</f>
        <v>2051507</v>
      </c>
      <c r="N92" s="836"/>
      <c r="O92" s="925"/>
      <c r="P92" s="641">
        <f>P14+P19+P45+P56+P61+P70+P74+P84+P89</f>
        <v>75891</v>
      </c>
      <c r="Q92" s="859"/>
      <c r="R92" s="860"/>
    </row>
    <row r="93" spans="1:18" s="78" customFormat="1" ht="13.5" customHeight="1" x14ac:dyDescent="0.2">
      <c r="A93" s="854"/>
      <c r="B93" s="848"/>
      <c r="C93" s="849"/>
      <c r="D93" s="849"/>
      <c r="E93" s="849"/>
      <c r="F93" s="926"/>
      <c r="G93" s="909"/>
      <c r="H93" s="849"/>
      <c r="I93" s="926"/>
      <c r="J93" s="909"/>
      <c r="K93" s="849"/>
      <c r="L93" s="926"/>
      <c r="M93" s="942"/>
      <c r="N93" s="857"/>
      <c r="O93" s="960"/>
      <c r="P93" s="942"/>
      <c r="Q93" s="858"/>
      <c r="R93" s="975"/>
    </row>
    <row r="94" spans="1:18" s="91" customFormat="1" ht="13.5" customHeight="1" x14ac:dyDescent="0.15">
      <c r="A94" s="782"/>
      <c r="B94" s="771"/>
      <c r="C94" s="773"/>
      <c r="D94" s="773"/>
      <c r="E94" s="773"/>
      <c r="F94" s="921"/>
      <c r="G94" s="905"/>
      <c r="H94" s="773"/>
      <c r="I94" s="921"/>
      <c r="J94" s="905"/>
      <c r="K94" s="773"/>
      <c r="L94" s="921"/>
      <c r="M94" s="902"/>
      <c r="N94" s="779"/>
      <c r="O94" s="918"/>
      <c r="P94" s="902"/>
      <c r="Q94" s="815"/>
      <c r="R94" s="978"/>
    </row>
    <row r="95" spans="1:18" s="91" customFormat="1" ht="15.75" customHeight="1" x14ac:dyDescent="0.15">
      <c r="A95" s="781" t="s">
        <v>540</v>
      </c>
      <c r="B95" s="771" t="s">
        <v>538</v>
      </c>
      <c r="C95" s="773"/>
      <c r="D95" s="773"/>
      <c r="E95" s="773"/>
      <c r="F95" s="921"/>
      <c r="G95" s="905"/>
      <c r="H95" s="773"/>
      <c r="I95" s="921"/>
      <c r="J95" s="905"/>
      <c r="K95" s="773"/>
      <c r="L95" s="921"/>
      <c r="M95" s="902"/>
      <c r="N95" s="779"/>
      <c r="O95" s="918"/>
      <c r="P95" s="902"/>
      <c r="Q95" s="815"/>
      <c r="R95" s="978"/>
    </row>
    <row r="96" spans="1:18" s="655" customFormat="1" ht="21.75" customHeight="1" x14ac:dyDescent="0.2">
      <c r="A96" s="782" t="s">
        <v>508</v>
      </c>
      <c r="B96" s="786" t="s">
        <v>1235</v>
      </c>
      <c r="C96" s="777" t="s">
        <v>327</v>
      </c>
      <c r="D96" s="783">
        <f>3980+2362</f>
        <v>6342</v>
      </c>
      <c r="E96" s="783"/>
      <c r="F96" s="916"/>
      <c r="G96" s="900">
        <f>1075+638</f>
        <v>1713</v>
      </c>
      <c r="H96" s="783"/>
      <c r="I96" s="916"/>
      <c r="J96" s="934">
        <f>SUM(D96:G96)</f>
        <v>8055</v>
      </c>
      <c r="K96" s="784"/>
      <c r="L96" s="949"/>
      <c r="M96" s="900">
        <f>1905+3000</f>
        <v>4905</v>
      </c>
      <c r="N96" s="783"/>
      <c r="O96" s="916"/>
      <c r="P96" s="900">
        <v>3150</v>
      </c>
      <c r="Q96" s="816"/>
      <c r="R96" s="979"/>
    </row>
    <row r="97" spans="1:18" s="91" customFormat="1" ht="21.75" customHeight="1" x14ac:dyDescent="0.2">
      <c r="A97" s="782" t="s">
        <v>516</v>
      </c>
      <c r="B97" s="786" t="s">
        <v>1039</v>
      </c>
      <c r="C97" s="777" t="s">
        <v>327</v>
      </c>
      <c r="D97" s="777">
        <v>3000</v>
      </c>
      <c r="E97" s="777"/>
      <c r="F97" s="923"/>
      <c r="G97" s="907">
        <v>185</v>
      </c>
      <c r="H97" s="777"/>
      <c r="I97" s="923"/>
      <c r="J97" s="937">
        <f>SUM(D97:G97)</f>
        <v>3185</v>
      </c>
      <c r="K97" s="810"/>
      <c r="L97" s="952"/>
      <c r="M97" s="934"/>
      <c r="N97" s="784"/>
      <c r="O97" s="949"/>
      <c r="P97" s="901">
        <f>J97</f>
        <v>3185</v>
      </c>
      <c r="Q97" s="815"/>
      <c r="R97" s="978"/>
    </row>
    <row r="98" spans="1:18" s="91" customFormat="1" ht="22.15" customHeight="1" thickBot="1" x14ac:dyDescent="0.2">
      <c r="A98" s="818" t="s">
        <v>517</v>
      </c>
      <c r="B98" s="819" t="s">
        <v>1136</v>
      </c>
      <c r="C98" s="841" t="s">
        <v>327</v>
      </c>
      <c r="D98" s="841">
        <v>1000</v>
      </c>
      <c r="E98" s="841"/>
      <c r="F98" s="924"/>
      <c r="G98" s="908">
        <f>D98*0.27</f>
        <v>270</v>
      </c>
      <c r="H98" s="841"/>
      <c r="I98" s="924"/>
      <c r="J98" s="938">
        <f>SUM(D98:G98)</f>
        <v>1270</v>
      </c>
      <c r="K98" s="842"/>
      <c r="L98" s="953"/>
      <c r="M98" s="903">
        <v>1270</v>
      </c>
      <c r="N98" s="853"/>
      <c r="O98" s="919"/>
      <c r="P98" s="903"/>
      <c r="Q98" s="829"/>
      <c r="R98" s="980"/>
    </row>
    <row r="99" spans="1:18" s="91" customFormat="1" ht="21.75" customHeight="1" thickBot="1" x14ac:dyDescent="0.2">
      <c r="A99" s="824"/>
      <c r="B99" s="825" t="s">
        <v>539</v>
      </c>
      <c r="C99" s="836"/>
      <c r="D99" s="862">
        <f>SUM(D96:D98)</f>
        <v>10342</v>
      </c>
      <c r="E99" s="862"/>
      <c r="F99" s="930"/>
      <c r="G99" s="913">
        <f t="shared" ref="G99:J99" si="11">SUM(G96:G98)</f>
        <v>2168</v>
      </c>
      <c r="H99" s="862"/>
      <c r="I99" s="930"/>
      <c r="J99" s="913">
        <f t="shared" si="11"/>
        <v>12510</v>
      </c>
      <c r="K99" s="862"/>
      <c r="L99" s="930"/>
      <c r="M99" s="913">
        <f t="shared" ref="M99" si="12">SUM(M96:M98)</f>
        <v>6175</v>
      </c>
      <c r="N99" s="862"/>
      <c r="O99" s="930"/>
      <c r="P99" s="913">
        <f t="shared" ref="P99" si="13">SUM(P96:P98)</f>
        <v>6335</v>
      </c>
      <c r="Q99" s="827"/>
      <c r="R99" s="828"/>
    </row>
    <row r="100" spans="1:18" s="91" customFormat="1" ht="13.5" customHeight="1" x14ac:dyDescent="0.15">
      <c r="A100" s="854"/>
      <c r="B100" s="848"/>
      <c r="C100" s="849"/>
      <c r="D100" s="849"/>
      <c r="E100" s="849"/>
      <c r="F100" s="926"/>
      <c r="G100" s="909"/>
      <c r="H100" s="849"/>
      <c r="I100" s="926"/>
      <c r="J100" s="909"/>
      <c r="K100" s="849"/>
      <c r="L100" s="926"/>
      <c r="M100" s="945"/>
      <c r="N100" s="861"/>
      <c r="O100" s="963"/>
      <c r="P100" s="945"/>
      <c r="Q100" s="850"/>
      <c r="R100" s="981"/>
    </row>
    <row r="101" spans="1:18" s="91" customFormat="1" ht="13.5" customHeight="1" x14ac:dyDescent="0.15">
      <c r="A101" s="781" t="s">
        <v>188</v>
      </c>
      <c r="B101" s="771" t="s">
        <v>76</v>
      </c>
      <c r="C101" s="773"/>
      <c r="D101" s="773"/>
      <c r="E101" s="773"/>
      <c r="F101" s="921"/>
      <c r="G101" s="905"/>
      <c r="H101" s="773"/>
      <c r="I101" s="921"/>
      <c r="J101" s="905"/>
      <c r="K101" s="773"/>
      <c r="L101" s="921"/>
      <c r="M101" s="902"/>
      <c r="N101" s="779"/>
      <c r="O101" s="918"/>
      <c r="P101" s="902"/>
      <c r="Q101" s="815"/>
      <c r="R101" s="978"/>
    </row>
    <row r="102" spans="1:18" s="78" customFormat="1" ht="21.75" customHeight="1" x14ac:dyDescent="0.2">
      <c r="A102" s="782" t="s">
        <v>508</v>
      </c>
      <c r="B102" s="786" t="s">
        <v>329</v>
      </c>
      <c r="C102" s="777" t="s">
        <v>330</v>
      </c>
      <c r="D102" s="777">
        <v>4725</v>
      </c>
      <c r="E102" s="777"/>
      <c r="F102" s="923"/>
      <c r="G102" s="907">
        <v>1275</v>
      </c>
      <c r="H102" s="777"/>
      <c r="I102" s="923"/>
      <c r="J102" s="937">
        <f>SUM(D102:G102)</f>
        <v>6000</v>
      </c>
      <c r="K102" s="810"/>
      <c r="L102" s="952"/>
      <c r="M102" s="900">
        <v>6000</v>
      </c>
      <c r="N102" s="783"/>
      <c r="O102" s="916"/>
      <c r="P102" s="900"/>
      <c r="Q102" s="769"/>
      <c r="R102" s="928"/>
    </row>
    <row r="103" spans="1:18" s="78" customFormat="1" ht="21.75" customHeight="1" thickBot="1" x14ac:dyDescent="0.25">
      <c r="A103" s="818"/>
      <c r="B103" s="819"/>
      <c r="C103" s="841"/>
      <c r="D103" s="841"/>
      <c r="E103" s="841"/>
      <c r="F103" s="924"/>
      <c r="G103" s="908"/>
      <c r="H103" s="841"/>
      <c r="I103" s="924"/>
      <c r="J103" s="938"/>
      <c r="K103" s="842"/>
      <c r="L103" s="953"/>
      <c r="M103" s="903"/>
      <c r="N103" s="853"/>
      <c r="O103" s="919"/>
      <c r="P103" s="903"/>
      <c r="Q103" s="823"/>
      <c r="R103" s="974"/>
    </row>
    <row r="104" spans="1:18" s="78" customFormat="1" ht="21.75" customHeight="1" thickBot="1" x14ac:dyDescent="0.25">
      <c r="A104" s="824"/>
      <c r="B104" s="825" t="s">
        <v>75</v>
      </c>
      <c r="C104" s="826"/>
      <c r="D104" s="826">
        <f>SUM(D102:D103)</f>
        <v>4725</v>
      </c>
      <c r="E104" s="826"/>
      <c r="F104" s="931"/>
      <c r="G104" s="914">
        <f>SUM(G102:G103)</f>
        <v>1275</v>
      </c>
      <c r="H104" s="826"/>
      <c r="I104" s="931"/>
      <c r="J104" s="914">
        <f>SUM(J102:J103)</f>
        <v>6000</v>
      </c>
      <c r="K104" s="826"/>
      <c r="L104" s="931"/>
      <c r="M104" s="914">
        <f>SUM(M102:M103)</f>
        <v>6000</v>
      </c>
      <c r="N104" s="826"/>
      <c r="O104" s="931"/>
      <c r="P104" s="914">
        <f>SUM(P102:P103)</f>
        <v>0</v>
      </c>
      <c r="Q104" s="859"/>
      <c r="R104" s="860"/>
    </row>
    <row r="105" spans="1:18" s="78" customFormat="1" ht="13.5" customHeight="1" x14ac:dyDescent="0.2">
      <c r="A105" s="854"/>
      <c r="B105" s="855"/>
      <c r="C105" s="856"/>
      <c r="D105" s="856"/>
      <c r="E105" s="856"/>
      <c r="F105" s="920"/>
      <c r="G105" s="904"/>
      <c r="H105" s="856"/>
      <c r="I105" s="920"/>
      <c r="J105" s="904"/>
      <c r="K105" s="856"/>
      <c r="L105" s="920"/>
      <c r="M105" s="942"/>
      <c r="N105" s="857"/>
      <c r="O105" s="960"/>
      <c r="P105" s="942"/>
      <c r="Q105" s="858"/>
      <c r="R105" s="975"/>
    </row>
    <row r="106" spans="1:18" s="91" customFormat="1" ht="26.45" customHeight="1" x14ac:dyDescent="0.2">
      <c r="A106" s="782"/>
      <c r="B106" s="771" t="s">
        <v>1004</v>
      </c>
      <c r="C106" s="773"/>
      <c r="D106" s="772"/>
      <c r="E106" s="772"/>
      <c r="F106" s="897"/>
      <c r="G106" s="894"/>
      <c r="H106" s="772"/>
      <c r="I106" s="897"/>
      <c r="J106" s="905"/>
      <c r="K106" s="773"/>
      <c r="L106" s="921"/>
      <c r="M106" s="902"/>
      <c r="N106" s="779"/>
      <c r="O106" s="918"/>
      <c r="P106" s="902"/>
      <c r="Q106" s="815"/>
      <c r="R106" s="978"/>
    </row>
    <row r="107" spans="1:18" s="91" customFormat="1" ht="33" customHeight="1" x14ac:dyDescent="0.15">
      <c r="A107" s="782" t="s">
        <v>508</v>
      </c>
      <c r="B107" s="817" t="s">
        <v>1122</v>
      </c>
      <c r="C107" s="777" t="s">
        <v>327</v>
      </c>
      <c r="D107" s="783">
        <v>3070</v>
      </c>
      <c r="E107" s="783"/>
      <c r="F107" s="916"/>
      <c r="G107" s="900">
        <v>830</v>
      </c>
      <c r="H107" s="783"/>
      <c r="I107" s="916"/>
      <c r="J107" s="934">
        <f>SUM(D107:G107)</f>
        <v>3900</v>
      </c>
      <c r="K107" s="784"/>
      <c r="L107" s="949"/>
      <c r="M107" s="934"/>
      <c r="N107" s="784"/>
      <c r="O107" s="949"/>
      <c r="P107" s="900">
        <f>J107</f>
        <v>3900</v>
      </c>
      <c r="Q107" s="815"/>
      <c r="R107" s="978"/>
    </row>
    <row r="108" spans="1:18" s="91" customFormat="1" ht="21" customHeight="1" thickBot="1" x14ac:dyDescent="0.25">
      <c r="A108" s="818" t="s">
        <v>516</v>
      </c>
      <c r="B108" s="851"/>
      <c r="C108" s="852"/>
      <c r="D108" s="822"/>
      <c r="E108" s="822"/>
      <c r="F108" s="898"/>
      <c r="G108" s="895"/>
      <c r="H108" s="822"/>
      <c r="I108" s="898"/>
      <c r="J108" s="895"/>
      <c r="K108" s="822"/>
      <c r="L108" s="898"/>
      <c r="M108" s="933"/>
      <c r="N108" s="837"/>
      <c r="O108" s="948"/>
      <c r="P108" s="895"/>
      <c r="Q108" s="829"/>
      <c r="R108" s="980"/>
    </row>
    <row r="109" spans="1:18" s="91" customFormat="1" ht="21.75" customHeight="1" thickBot="1" x14ac:dyDescent="0.2">
      <c r="A109" s="839"/>
      <c r="B109" s="825" t="s">
        <v>1003</v>
      </c>
      <c r="C109" s="826"/>
      <c r="D109" s="826">
        <f>SUM(D107:D108)</f>
        <v>3070</v>
      </c>
      <c r="E109" s="826"/>
      <c r="F109" s="931"/>
      <c r="G109" s="914">
        <f>SUM(G107:G108)</f>
        <v>830</v>
      </c>
      <c r="H109" s="826"/>
      <c r="I109" s="931"/>
      <c r="J109" s="914">
        <f>SUM(J107:J108)</f>
        <v>3900</v>
      </c>
      <c r="K109" s="826"/>
      <c r="L109" s="931"/>
      <c r="M109" s="914">
        <f>SUM(M107:M108)</f>
        <v>0</v>
      </c>
      <c r="N109" s="826"/>
      <c r="O109" s="931"/>
      <c r="P109" s="914">
        <f>SUM(P107:P108)</f>
        <v>3900</v>
      </c>
      <c r="Q109" s="827"/>
      <c r="R109" s="828"/>
    </row>
    <row r="110" spans="1:18" s="91" customFormat="1" ht="13.5" customHeight="1" x14ac:dyDescent="0.15">
      <c r="A110" s="847"/>
      <c r="B110" s="848"/>
      <c r="C110" s="849"/>
      <c r="D110" s="849"/>
      <c r="E110" s="849"/>
      <c r="F110" s="926"/>
      <c r="G110" s="909"/>
      <c r="H110" s="849"/>
      <c r="I110" s="926"/>
      <c r="J110" s="909"/>
      <c r="K110" s="849"/>
      <c r="L110" s="926"/>
      <c r="M110" s="909"/>
      <c r="N110" s="849"/>
      <c r="O110" s="926"/>
      <c r="P110" s="909"/>
      <c r="Q110" s="850"/>
      <c r="R110" s="981"/>
    </row>
    <row r="111" spans="1:18" s="91" customFormat="1" ht="13.5" customHeight="1" x14ac:dyDescent="0.15">
      <c r="A111" s="781"/>
      <c r="B111" s="771" t="s">
        <v>735</v>
      </c>
      <c r="C111" s="773"/>
      <c r="D111" s="773"/>
      <c r="E111" s="773"/>
      <c r="F111" s="921"/>
      <c r="G111" s="905"/>
      <c r="H111" s="773"/>
      <c r="I111" s="921"/>
      <c r="J111" s="905"/>
      <c r="K111" s="773"/>
      <c r="L111" s="921"/>
      <c r="M111" s="905"/>
      <c r="N111" s="773"/>
      <c r="O111" s="921"/>
      <c r="P111" s="905"/>
      <c r="Q111" s="815"/>
      <c r="R111" s="978"/>
    </row>
    <row r="112" spans="1:18" s="655" customFormat="1" ht="26.25" customHeight="1" x14ac:dyDescent="0.2">
      <c r="A112" s="782" t="s">
        <v>508</v>
      </c>
      <c r="B112" s="817" t="s">
        <v>1157</v>
      </c>
      <c r="C112" s="777" t="s">
        <v>327</v>
      </c>
      <c r="D112" s="783">
        <v>4000</v>
      </c>
      <c r="E112" s="783"/>
      <c r="F112" s="916"/>
      <c r="G112" s="900">
        <v>1080</v>
      </c>
      <c r="H112" s="783"/>
      <c r="I112" s="916"/>
      <c r="J112" s="934">
        <f>SUM(D112:G112)</f>
        <v>5080</v>
      </c>
      <c r="K112" s="784"/>
      <c r="L112" s="949"/>
      <c r="M112" s="900">
        <f>J112</f>
        <v>5080</v>
      </c>
      <c r="N112" s="783"/>
      <c r="O112" s="916"/>
      <c r="P112" s="937"/>
      <c r="Q112" s="816"/>
      <c r="R112" s="979"/>
    </row>
    <row r="113" spans="1:22" s="655" customFormat="1" ht="21.75" customHeight="1" x14ac:dyDescent="0.2">
      <c r="A113" s="782" t="s">
        <v>516</v>
      </c>
      <c r="B113" s="786" t="s">
        <v>1121</v>
      </c>
      <c r="C113" s="777" t="s">
        <v>327</v>
      </c>
      <c r="D113" s="777">
        <v>2205</v>
      </c>
      <c r="E113" s="777"/>
      <c r="F113" s="923"/>
      <c r="G113" s="907">
        <v>595</v>
      </c>
      <c r="H113" s="777"/>
      <c r="I113" s="923"/>
      <c r="J113" s="937">
        <f>SUM(D113:G113)</f>
        <v>2800</v>
      </c>
      <c r="K113" s="810"/>
      <c r="L113" s="952"/>
      <c r="M113" s="907">
        <v>2800</v>
      </c>
      <c r="N113" s="777"/>
      <c r="O113" s="923"/>
      <c r="P113" s="907"/>
      <c r="Q113" s="816"/>
      <c r="R113" s="979"/>
    </row>
    <row r="114" spans="1:22" s="655" customFormat="1" ht="21.75" customHeight="1" thickBot="1" x14ac:dyDescent="0.25">
      <c r="A114" s="818" t="s">
        <v>517</v>
      </c>
      <c r="B114" s="819" t="s">
        <v>1156</v>
      </c>
      <c r="C114" s="841" t="s">
        <v>327</v>
      </c>
      <c r="D114" s="841">
        <v>787</v>
      </c>
      <c r="E114" s="841"/>
      <c r="F114" s="924"/>
      <c r="G114" s="908">
        <v>213</v>
      </c>
      <c r="H114" s="841"/>
      <c r="I114" s="924"/>
      <c r="J114" s="938">
        <f>SUM(D114:G114)</f>
        <v>1000</v>
      </c>
      <c r="K114" s="842"/>
      <c r="L114" s="953"/>
      <c r="M114" s="908">
        <v>1000</v>
      </c>
      <c r="N114" s="841"/>
      <c r="O114" s="924"/>
      <c r="P114" s="908"/>
      <c r="Q114" s="843"/>
      <c r="R114" s="982"/>
    </row>
    <row r="115" spans="1:22" s="91" customFormat="1" ht="21.75" customHeight="1" thickBot="1" x14ac:dyDescent="0.2">
      <c r="A115" s="839"/>
      <c r="B115" s="825" t="s">
        <v>16</v>
      </c>
      <c r="C115" s="826"/>
      <c r="D115" s="826">
        <f>SUM(D112:D114)</f>
        <v>6992</v>
      </c>
      <c r="E115" s="826"/>
      <c r="F115" s="931"/>
      <c r="G115" s="914">
        <f>SUM(G112:G114)</f>
        <v>1888</v>
      </c>
      <c r="H115" s="826"/>
      <c r="I115" s="931"/>
      <c r="J115" s="914">
        <f>SUM(J112:J114)</f>
        <v>8880</v>
      </c>
      <c r="K115" s="826"/>
      <c r="L115" s="931"/>
      <c r="M115" s="914">
        <f>SUM(M112:M114)</f>
        <v>8880</v>
      </c>
      <c r="N115" s="826"/>
      <c r="O115" s="931"/>
      <c r="P115" s="914">
        <f>SUM(P112:P114)</f>
        <v>0</v>
      </c>
      <c r="Q115" s="827"/>
      <c r="R115" s="828"/>
    </row>
    <row r="116" spans="1:22" s="91" customFormat="1" ht="13.5" customHeight="1" x14ac:dyDescent="0.15">
      <c r="A116" s="847"/>
      <c r="B116" s="848"/>
      <c r="C116" s="849"/>
      <c r="D116" s="849"/>
      <c r="E116" s="849"/>
      <c r="F116" s="926"/>
      <c r="G116" s="909"/>
      <c r="H116" s="849"/>
      <c r="I116" s="926"/>
      <c r="J116" s="909"/>
      <c r="K116" s="849"/>
      <c r="L116" s="926"/>
      <c r="M116" s="909"/>
      <c r="N116" s="849"/>
      <c r="O116" s="926"/>
      <c r="P116" s="909"/>
      <c r="Q116" s="850"/>
      <c r="R116" s="981"/>
    </row>
    <row r="117" spans="1:22" s="91" customFormat="1" ht="13.5" customHeight="1" x14ac:dyDescent="0.15">
      <c r="A117" s="781"/>
      <c r="B117" s="771" t="s">
        <v>199</v>
      </c>
      <c r="C117" s="773"/>
      <c r="D117" s="773"/>
      <c r="E117" s="773"/>
      <c r="F117" s="921"/>
      <c r="G117" s="905"/>
      <c r="H117" s="773"/>
      <c r="I117" s="921"/>
      <c r="J117" s="905"/>
      <c r="K117" s="773"/>
      <c r="L117" s="921"/>
      <c r="M117" s="905"/>
      <c r="N117" s="773"/>
      <c r="O117" s="921"/>
      <c r="P117" s="905"/>
      <c r="Q117" s="815"/>
      <c r="R117" s="978"/>
    </row>
    <row r="118" spans="1:22" s="655" customFormat="1" ht="21.75" customHeight="1" x14ac:dyDescent="0.2">
      <c r="A118" s="782" t="s">
        <v>508</v>
      </c>
      <c r="B118" s="786" t="s">
        <v>198</v>
      </c>
      <c r="C118" s="777" t="s">
        <v>327</v>
      </c>
      <c r="D118" s="777">
        <v>394</v>
      </c>
      <c r="E118" s="777"/>
      <c r="F118" s="923"/>
      <c r="G118" s="907">
        <v>106</v>
      </c>
      <c r="H118" s="777"/>
      <c r="I118" s="923"/>
      <c r="J118" s="937">
        <v>500</v>
      </c>
      <c r="K118" s="810"/>
      <c r="L118" s="952"/>
      <c r="M118" s="907">
        <v>500</v>
      </c>
      <c r="N118" s="777"/>
      <c r="O118" s="923"/>
      <c r="P118" s="937"/>
      <c r="Q118" s="816"/>
      <c r="R118" s="979"/>
    </row>
    <row r="119" spans="1:22" s="655" customFormat="1" ht="21.75" customHeight="1" thickBot="1" x14ac:dyDescent="0.25">
      <c r="A119" s="818" t="s">
        <v>516</v>
      </c>
      <c r="B119" s="819" t="s">
        <v>1120</v>
      </c>
      <c r="C119" s="841" t="s">
        <v>327</v>
      </c>
      <c r="D119" s="841">
        <v>709</v>
      </c>
      <c r="E119" s="841"/>
      <c r="F119" s="924"/>
      <c r="G119" s="908">
        <v>191</v>
      </c>
      <c r="H119" s="841"/>
      <c r="I119" s="924"/>
      <c r="J119" s="938">
        <f>SUM(D119:G119)</f>
        <v>900</v>
      </c>
      <c r="K119" s="842"/>
      <c r="L119" s="953"/>
      <c r="M119" s="908">
        <v>900</v>
      </c>
      <c r="N119" s="841"/>
      <c r="O119" s="924"/>
      <c r="P119" s="938"/>
      <c r="Q119" s="843"/>
      <c r="R119" s="982"/>
    </row>
    <row r="120" spans="1:22" s="655" customFormat="1" ht="21.75" customHeight="1" thickBot="1" x14ac:dyDescent="0.25">
      <c r="A120" s="839"/>
      <c r="B120" s="825" t="s">
        <v>200</v>
      </c>
      <c r="C120" s="826"/>
      <c r="D120" s="826">
        <f>SUM(D118:D119)</f>
        <v>1103</v>
      </c>
      <c r="E120" s="826"/>
      <c r="F120" s="931"/>
      <c r="G120" s="914">
        <f>SUM(G118:G119)</f>
        <v>297</v>
      </c>
      <c r="H120" s="826"/>
      <c r="I120" s="931"/>
      <c r="J120" s="914">
        <f>SUM(J118:J119)</f>
        <v>1400</v>
      </c>
      <c r="K120" s="826"/>
      <c r="L120" s="931"/>
      <c r="M120" s="914">
        <f>SUM(M118:M119)</f>
        <v>1400</v>
      </c>
      <c r="N120" s="826"/>
      <c r="O120" s="931"/>
      <c r="P120" s="914"/>
      <c r="Q120" s="845"/>
      <c r="R120" s="846"/>
    </row>
    <row r="121" spans="1:22" s="91" customFormat="1" ht="13.5" customHeight="1" thickBot="1" x14ac:dyDescent="0.25">
      <c r="A121" s="830"/>
      <c r="B121" s="831"/>
      <c r="C121" s="832"/>
      <c r="D121" s="832"/>
      <c r="E121" s="832"/>
      <c r="F121" s="932"/>
      <c r="G121" s="915"/>
      <c r="H121" s="832"/>
      <c r="I121" s="932"/>
      <c r="J121" s="939"/>
      <c r="K121" s="833"/>
      <c r="L121" s="954"/>
      <c r="M121" s="946"/>
      <c r="N121" s="844"/>
      <c r="O121" s="956"/>
      <c r="P121" s="946"/>
      <c r="Q121" s="838"/>
      <c r="R121" s="983"/>
      <c r="V121" s="490"/>
    </row>
    <row r="122" spans="1:22" s="91" customFormat="1" ht="13.5" customHeight="1" thickBot="1" x14ac:dyDescent="0.2">
      <c r="A122" s="839" t="s">
        <v>541</v>
      </c>
      <c r="B122" s="825" t="s">
        <v>542</v>
      </c>
      <c r="C122" s="836"/>
      <c r="D122" s="836"/>
      <c r="E122" s="836"/>
      <c r="F122" s="925"/>
      <c r="G122" s="641"/>
      <c r="H122" s="836"/>
      <c r="I122" s="925"/>
      <c r="J122" s="641"/>
      <c r="K122" s="836"/>
      <c r="L122" s="925"/>
      <c r="M122" s="896"/>
      <c r="N122" s="840"/>
      <c r="O122" s="899"/>
      <c r="P122" s="896"/>
      <c r="Q122" s="827"/>
      <c r="R122" s="828"/>
    </row>
    <row r="123" spans="1:22" s="91" customFormat="1" ht="18.75" customHeight="1" thickBot="1" x14ac:dyDescent="0.25">
      <c r="A123" s="830"/>
      <c r="B123" s="831"/>
      <c r="C123" s="832"/>
      <c r="D123" s="832"/>
      <c r="E123" s="832"/>
      <c r="F123" s="932"/>
      <c r="G123" s="915"/>
      <c r="H123" s="832"/>
      <c r="I123" s="932"/>
      <c r="J123" s="939"/>
      <c r="K123" s="833"/>
      <c r="L123" s="954"/>
      <c r="M123" s="947"/>
      <c r="N123" s="834"/>
      <c r="O123" s="957"/>
      <c r="P123" s="955"/>
      <c r="Q123" s="838"/>
      <c r="R123" s="983"/>
    </row>
    <row r="124" spans="1:22" s="91" customFormat="1" ht="21.75" customHeight="1" thickBot="1" x14ac:dyDescent="0.25">
      <c r="A124" s="824"/>
      <c r="B124" s="825" t="s">
        <v>543</v>
      </c>
      <c r="C124" s="835"/>
      <c r="D124" s="836"/>
      <c r="E124" s="836"/>
      <c r="F124" s="925"/>
      <c r="G124" s="641"/>
      <c r="H124" s="836"/>
      <c r="I124" s="925"/>
      <c r="J124" s="641"/>
      <c r="K124" s="836"/>
      <c r="L124" s="925"/>
      <c r="M124" s="641"/>
      <c r="N124" s="836"/>
      <c r="O124" s="925"/>
      <c r="P124" s="641"/>
      <c r="Q124" s="827"/>
      <c r="R124" s="828"/>
    </row>
    <row r="125" spans="1:22" s="78" customFormat="1" ht="13.5" customHeight="1" thickBot="1" x14ac:dyDescent="0.25">
      <c r="A125" s="830"/>
      <c r="B125" s="831"/>
      <c r="C125" s="832"/>
      <c r="D125" s="832"/>
      <c r="E125" s="832"/>
      <c r="F125" s="932"/>
      <c r="G125" s="915"/>
      <c r="H125" s="832"/>
      <c r="I125" s="932"/>
      <c r="J125" s="939"/>
      <c r="K125" s="833"/>
      <c r="L125" s="954"/>
      <c r="M125" s="947"/>
      <c r="N125" s="834"/>
      <c r="O125" s="957"/>
      <c r="P125" s="947"/>
      <c r="Q125" s="768"/>
      <c r="R125" s="984"/>
    </row>
    <row r="126" spans="1:22" s="91" customFormat="1" ht="20.25" customHeight="1" thickBot="1" x14ac:dyDescent="0.2">
      <c r="A126" s="824"/>
      <c r="B126" s="825" t="s">
        <v>544</v>
      </c>
      <c r="C126" s="826"/>
      <c r="D126" s="826">
        <f>D14+D19+D45+D56+D61+D70+D74+D84+D89+D99+D104+D109+D115+D124+D120</f>
        <v>1718059</v>
      </c>
      <c r="E126" s="826"/>
      <c r="F126" s="931"/>
      <c r="G126" s="914">
        <f>G14+G19+G45+G56+G61+G70+G74+G84+G89+G99+G104+G109+G115+G124+G120</f>
        <v>442029</v>
      </c>
      <c r="H126" s="826"/>
      <c r="I126" s="931"/>
      <c r="J126" s="914">
        <f>J14+J19+J45+J56+J61+J70+J74+J84+J89+J99+J104+J109+J115+J124+J120</f>
        <v>2160088</v>
      </c>
      <c r="K126" s="826"/>
      <c r="L126" s="931"/>
      <c r="M126" s="914">
        <f>M14+M19+M45+M56+M61+M70+M74+M84+M89+M99+M104+M109+M115+M124+M120</f>
        <v>2073962</v>
      </c>
      <c r="N126" s="826"/>
      <c r="O126" s="931"/>
      <c r="P126" s="914">
        <f>P14+P19+P45+P56+P61+P70+P74+P84+P89+P99+P104+P109+P115+P124+P120</f>
        <v>86126</v>
      </c>
      <c r="Q126" s="827"/>
      <c r="R126" s="828"/>
    </row>
    <row r="129" spans="7:18" ht="14.1" customHeight="1" x14ac:dyDescent="0.2">
      <c r="G129" s="92"/>
      <c r="H129" s="92"/>
      <c r="I129" s="92"/>
      <c r="J129" s="93"/>
      <c r="K129" s="93"/>
      <c r="L129" s="93"/>
    </row>
    <row r="130" spans="7:18" ht="14.1" customHeight="1" x14ac:dyDescent="0.2">
      <c r="R130" s="770"/>
    </row>
  </sheetData>
  <sheetProtection selectLockedCells="1" selectUnlockedCells="1"/>
  <mergeCells count="14">
    <mergeCell ref="A1:P1"/>
    <mergeCell ref="A2:P2"/>
    <mergeCell ref="A4:P4"/>
    <mergeCell ref="A5:A9"/>
    <mergeCell ref="B8:B9"/>
    <mergeCell ref="C8:C9"/>
    <mergeCell ref="B3:P3"/>
    <mergeCell ref="D7:J7"/>
    <mergeCell ref="M8:O8"/>
    <mergeCell ref="P8:R8"/>
    <mergeCell ref="M7:R7"/>
    <mergeCell ref="D8:F8"/>
    <mergeCell ref="G8:I8"/>
    <mergeCell ref="J8:L8"/>
  </mergeCells>
  <phoneticPr fontId="33" type="noConversion"/>
  <pageMargins left="0" right="0" top="0.39370078740157483" bottom="0.39370078740157483" header="0.51181102362204722" footer="0.51181102362204722"/>
  <pageSetup paperSize="8" scale="75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9"/>
  <sheetViews>
    <sheetView topLeftCell="A10" workbookViewId="0">
      <selection activeCell="P27" sqref="P27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4" customWidth="1"/>
    <col min="4" max="4" width="14" style="34" customWidth="1"/>
    <col min="5" max="5" width="20.42578125" style="14" customWidth="1"/>
    <col min="6" max="16384" width="9.140625" style="14"/>
  </cols>
  <sheetData>
    <row r="1" spans="1:10" x14ac:dyDescent="0.25">
      <c r="B1" s="15"/>
      <c r="C1" s="22"/>
    </row>
    <row r="2" spans="1:10" x14ac:dyDescent="0.25">
      <c r="A2" s="1394" t="s">
        <v>1236</v>
      </c>
      <c r="B2" s="1394"/>
      <c r="C2" s="1394"/>
      <c r="D2" s="1394"/>
      <c r="E2" s="1394"/>
    </row>
    <row r="3" spans="1:10" x14ac:dyDescent="0.25">
      <c r="B3" s="16"/>
      <c r="C3" s="269"/>
    </row>
    <row r="4" spans="1:10" ht="15" customHeight="1" x14ac:dyDescent="0.25">
      <c r="A4" s="1395" t="s">
        <v>78</v>
      </c>
      <c r="B4" s="1395"/>
      <c r="C4" s="1395"/>
      <c r="D4" s="1395"/>
      <c r="E4" s="1395"/>
    </row>
    <row r="5" spans="1:10" ht="15" customHeight="1" x14ac:dyDescent="0.25">
      <c r="A5" s="1396" t="s">
        <v>1129</v>
      </c>
      <c r="B5" s="1396"/>
      <c r="C5" s="1396"/>
      <c r="D5" s="1396"/>
      <c r="E5" s="1396"/>
    </row>
    <row r="6" spans="1:10" ht="15" customHeight="1" x14ac:dyDescent="0.25">
      <c r="A6" s="1396" t="s">
        <v>554</v>
      </c>
      <c r="B6" s="1396"/>
      <c r="C6" s="1396"/>
      <c r="D6" s="1396"/>
      <c r="E6" s="1396"/>
    </row>
    <row r="7" spans="1:10" ht="15" customHeight="1" x14ac:dyDescent="0.25">
      <c r="B7" s="1396"/>
      <c r="C7" s="1396"/>
    </row>
    <row r="8" spans="1:10" s="17" customFormat="1" ht="20.100000000000001" customHeight="1" x14ac:dyDescent="0.25">
      <c r="A8" s="1397" t="s">
        <v>321</v>
      </c>
      <c r="B8" s="1398"/>
      <c r="C8" s="1398"/>
      <c r="D8" s="1398"/>
      <c r="E8" s="1398"/>
    </row>
    <row r="9" spans="1:10" s="17" customFormat="1" ht="20.100000000000001" customHeight="1" x14ac:dyDescent="0.25">
      <c r="A9" s="1401" t="s">
        <v>77</v>
      </c>
      <c r="B9" s="399" t="s">
        <v>57</v>
      </c>
      <c r="C9" s="1400" t="s">
        <v>58</v>
      </c>
      <c r="D9" s="1400"/>
      <c r="E9" s="1400"/>
    </row>
    <row r="10" spans="1:10" ht="46.5" customHeight="1" x14ac:dyDescent="0.25">
      <c r="A10" s="1401"/>
      <c r="B10" s="1393" t="s">
        <v>86</v>
      </c>
      <c r="C10" s="1399" t="s">
        <v>1200</v>
      </c>
      <c r="D10" s="1399"/>
      <c r="E10" s="1399"/>
      <c r="F10" s="1303" t="s">
        <v>1246</v>
      </c>
      <c r="G10" s="1303"/>
      <c r="H10" s="1303" t="s">
        <v>1246</v>
      </c>
      <c r="I10" s="1303"/>
      <c r="J10" s="1303"/>
    </row>
    <row r="11" spans="1:10" ht="20.100000000000001" customHeight="1" x14ac:dyDescent="0.25">
      <c r="A11" s="1401"/>
      <c r="B11" s="1393"/>
      <c r="C11" s="398" t="s">
        <v>189</v>
      </c>
      <c r="D11" s="400" t="s">
        <v>190</v>
      </c>
      <c r="E11" s="401" t="s">
        <v>191</v>
      </c>
      <c r="F11" s="750" t="s">
        <v>62</v>
      </c>
      <c r="G11" s="750" t="s">
        <v>63</v>
      </c>
      <c r="H11" s="750" t="s">
        <v>62</v>
      </c>
      <c r="I11" s="750" t="s">
        <v>63</v>
      </c>
      <c r="J11" s="751" t="s">
        <v>64</v>
      </c>
    </row>
    <row r="12" spans="1:10" ht="20.100000000000001" customHeight="1" x14ac:dyDescent="0.25">
      <c r="A12" s="19" t="s">
        <v>508</v>
      </c>
      <c r="B12" s="20" t="s">
        <v>555</v>
      </c>
      <c r="C12" s="486"/>
      <c r="D12" s="487"/>
      <c r="E12" s="488"/>
    </row>
    <row r="13" spans="1:10" ht="20.100000000000001" customHeight="1" x14ac:dyDescent="0.25">
      <c r="A13" s="19" t="s">
        <v>516</v>
      </c>
      <c r="B13" s="1009" t="s">
        <v>671</v>
      </c>
      <c r="C13" s="1010"/>
      <c r="D13" s="1011"/>
      <c r="E13" s="1012"/>
      <c r="F13" s="1012"/>
      <c r="G13" s="1012"/>
      <c r="H13" s="1012"/>
      <c r="I13" s="1012"/>
      <c r="J13" s="1012"/>
    </row>
    <row r="14" spans="1:10" ht="30.75" customHeight="1" x14ac:dyDescent="0.25">
      <c r="A14" s="19" t="s">
        <v>517</v>
      </c>
      <c r="B14" s="1013" t="s">
        <v>323</v>
      </c>
      <c r="C14" s="1010"/>
      <c r="D14" s="1010">
        <v>0</v>
      </c>
      <c r="E14" s="400">
        <f>C14+D14</f>
        <v>0</v>
      </c>
      <c r="F14" s="1012"/>
      <c r="G14" s="1012"/>
      <c r="H14" s="1012"/>
      <c r="I14" s="1012"/>
      <c r="J14" s="1012"/>
    </row>
    <row r="15" spans="1:10" ht="24.6" customHeight="1" x14ac:dyDescent="0.25">
      <c r="A15" s="19" t="s">
        <v>518</v>
      </c>
      <c r="B15" s="1013" t="s">
        <v>680</v>
      </c>
      <c r="C15" s="1010">
        <f>181701-26743-78232</f>
        <v>76726</v>
      </c>
      <c r="D15" s="1010">
        <v>0</v>
      </c>
      <c r="E15" s="400">
        <f>C15+D15</f>
        <v>76726</v>
      </c>
      <c r="F15" s="1012"/>
      <c r="G15" s="1012"/>
      <c r="H15" s="1012"/>
      <c r="I15" s="1012"/>
      <c r="J15" s="1012"/>
    </row>
    <row r="16" spans="1:10" ht="36" customHeight="1" x14ac:dyDescent="0.25">
      <c r="A16" s="19" t="s">
        <v>519</v>
      </c>
      <c r="B16" s="1014" t="s">
        <v>1152</v>
      </c>
      <c r="C16" s="1010">
        <v>78232</v>
      </c>
      <c r="D16" s="1015"/>
      <c r="E16" s="400">
        <f>C16+D16</f>
        <v>78232</v>
      </c>
      <c r="F16" s="1012"/>
      <c r="G16" s="1012"/>
      <c r="H16" s="1012"/>
      <c r="I16" s="1012"/>
      <c r="J16" s="1012"/>
    </row>
    <row r="17" spans="1:10" ht="35.25" customHeight="1" x14ac:dyDescent="0.25">
      <c r="A17" s="19" t="s">
        <v>520</v>
      </c>
      <c r="B17" s="1014" t="s">
        <v>1185</v>
      </c>
      <c r="C17" s="1015">
        <v>110160</v>
      </c>
      <c r="D17" s="1015"/>
      <c r="E17" s="400">
        <f>C17+D17</f>
        <v>110160</v>
      </c>
      <c r="F17" s="1012"/>
      <c r="G17" s="1012"/>
      <c r="H17" s="1012"/>
      <c r="I17" s="1012"/>
      <c r="J17" s="1012"/>
    </row>
    <row r="18" spans="1:10" ht="35.25" customHeight="1" x14ac:dyDescent="0.25">
      <c r="A18" s="19"/>
      <c r="B18" s="1014"/>
      <c r="C18" s="1015"/>
      <c r="D18" s="1015"/>
      <c r="E18" s="400"/>
      <c r="F18" s="1012"/>
      <c r="G18" s="1012"/>
      <c r="H18" s="1012"/>
      <c r="I18" s="1012"/>
      <c r="J18" s="1012"/>
    </row>
    <row r="19" spans="1:10" s="13" customFormat="1" ht="19.5" customHeight="1" x14ac:dyDescent="0.25">
      <c r="A19" s="19" t="s">
        <v>521</v>
      </c>
      <c r="B19" s="1016" t="s">
        <v>49</v>
      </c>
      <c r="C19" s="1017">
        <f>SUM(C14:C17)</f>
        <v>265118</v>
      </c>
      <c r="D19" s="1017">
        <f>SUM(D14:D16)</f>
        <v>0</v>
      </c>
      <c r="E19" s="400">
        <f>C19+D19</f>
        <v>265118</v>
      </c>
      <c r="F19" s="1018"/>
      <c r="G19" s="1018"/>
      <c r="H19" s="1018"/>
      <c r="I19" s="1018"/>
      <c r="J19" s="1018"/>
    </row>
    <row r="20" spans="1:10" s="13" customFormat="1" ht="19.5" customHeight="1" x14ac:dyDescent="0.25">
      <c r="A20" s="19" t="s">
        <v>522</v>
      </c>
      <c r="B20" s="1016"/>
      <c r="C20" s="1017"/>
      <c r="D20" s="1019"/>
      <c r="E20" s="401"/>
      <c r="F20" s="1018"/>
      <c r="G20" s="1018"/>
      <c r="H20" s="1018"/>
      <c r="I20" s="1018"/>
      <c r="J20" s="1018"/>
    </row>
    <row r="21" spans="1:10" ht="19.5" customHeight="1" x14ac:dyDescent="0.25">
      <c r="A21" s="19" t="s">
        <v>523</v>
      </c>
      <c r="B21" s="1016" t="s">
        <v>672</v>
      </c>
      <c r="C21" s="1010"/>
      <c r="D21" s="1011"/>
      <c r="E21" s="1020"/>
      <c r="F21" s="1012"/>
      <c r="G21" s="1012"/>
      <c r="H21" s="1012"/>
      <c r="I21" s="1012"/>
      <c r="J21" s="1012"/>
    </row>
    <row r="22" spans="1:10" ht="21" customHeight="1" x14ac:dyDescent="0.25">
      <c r="A22" s="19" t="s">
        <v>565</v>
      </c>
      <c r="B22" s="1021" t="s">
        <v>556</v>
      </c>
      <c r="C22" s="1010"/>
      <c r="D22" s="1010">
        <v>60000</v>
      </c>
      <c r="E22" s="400">
        <f>C22+D22</f>
        <v>60000</v>
      </c>
      <c r="F22" s="1012"/>
      <c r="G22" s="1012"/>
      <c r="H22" s="1012"/>
      <c r="I22" s="1012"/>
      <c r="J22" s="1012"/>
    </row>
    <row r="23" spans="1:10" ht="21.75" customHeight="1" x14ac:dyDescent="0.25">
      <c r="A23" s="19" t="s">
        <v>566</v>
      </c>
      <c r="B23" s="1013" t="s">
        <v>557</v>
      </c>
      <c r="C23" s="1010"/>
      <c r="D23" s="1010">
        <v>5000</v>
      </c>
      <c r="E23" s="400">
        <f>C23+D23</f>
        <v>5000</v>
      </c>
      <c r="F23" s="1012"/>
      <c r="G23" s="1012"/>
      <c r="H23" s="1012"/>
      <c r="I23" s="1012"/>
      <c r="J23" s="1012"/>
    </row>
    <row r="24" spans="1:10" ht="41.25" customHeight="1" x14ac:dyDescent="0.25">
      <c r="A24" s="19" t="s">
        <v>567</v>
      </c>
      <c r="B24" s="1022" t="s">
        <v>1029</v>
      </c>
      <c r="C24" s="1023"/>
      <c r="D24" s="1024">
        <v>88</v>
      </c>
      <c r="E24" s="1025">
        <f>C24+D24</f>
        <v>88</v>
      </c>
      <c r="F24" s="1012"/>
      <c r="G24" s="1012"/>
      <c r="H24" s="1012"/>
      <c r="I24" s="1012"/>
      <c r="J24" s="1012"/>
    </row>
    <row r="25" spans="1:10" s="13" customFormat="1" ht="21" customHeight="1" x14ac:dyDescent="0.25">
      <c r="A25" s="19" t="s">
        <v>568</v>
      </c>
      <c r="B25" s="1016" t="s">
        <v>673</v>
      </c>
      <c r="C25" s="1017">
        <f>SUM(C22:C23)</f>
        <v>0</v>
      </c>
      <c r="D25" s="1017">
        <f>SUM(D22:D24)</f>
        <v>65088</v>
      </c>
      <c r="E25" s="400">
        <f>C25+D25</f>
        <v>65088</v>
      </c>
      <c r="F25" s="1018"/>
      <c r="G25" s="1018"/>
      <c r="H25" s="1018"/>
      <c r="I25" s="1018"/>
      <c r="J25" s="1018"/>
    </row>
    <row r="26" spans="1:10" s="13" customFormat="1" ht="22.5" customHeight="1" x14ac:dyDescent="0.25">
      <c r="A26" s="19" t="s">
        <v>569</v>
      </c>
      <c r="B26" s="1014" t="s">
        <v>558</v>
      </c>
      <c r="C26" s="400">
        <f>C19+C25</f>
        <v>265118</v>
      </c>
      <c r="D26" s="400">
        <f>D19+D25</f>
        <v>65088</v>
      </c>
      <c r="E26" s="400">
        <f>C26+D26</f>
        <v>330206</v>
      </c>
      <c r="F26" s="1018"/>
      <c r="G26" s="1018"/>
      <c r="H26" s="1018"/>
      <c r="I26" s="1018"/>
      <c r="J26" s="1018"/>
    </row>
    <row r="27" spans="1:10" ht="20.100000000000001" customHeight="1" x14ac:dyDescent="0.25">
      <c r="A27" s="19" t="s">
        <v>570</v>
      </c>
      <c r="B27" s="1013"/>
      <c r="C27" s="1015"/>
      <c r="D27" s="1015"/>
      <c r="E27" s="1020"/>
      <c r="F27" s="1012"/>
      <c r="G27" s="1012"/>
      <c r="H27" s="1012"/>
      <c r="I27" s="1012"/>
      <c r="J27" s="1012"/>
    </row>
    <row r="28" spans="1:10" ht="20.100000000000001" customHeight="1" x14ac:dyDescent="0.25">
      <c r="A28" s="19" t="s">
        <v>571</v>
      </c>
      <c r="B28" s="1026" t="s">
        <v>559</v>
      </c>
      <c r="C28" s="1015"/>
      <c r="D28" s="1015"/>
      <c r="E28" s="1020"/>
      <c r="F28" s="1012"/>
      <c r="G28" s="1012"/>
      <c r="H28" s="1012"/>
      <c r="I28" s="1012"/>
      <c r="J28" s="1012"/>
    </row>
    <row r="29" spans="1:10" ht="20.100000000000001" customHeight="1" x14ac:dyDescent="0.25">
      <c r="A29" s="19" t="s">
        <v>572</v>
      </c>
      <c r="B29" s="1021" t="s">
        <v>560</v>
      </c>
      <c r="C29" s="1015">
        <f>20000-1838</f>
        <v>18162</v>
      </c>
      <c r="D29" s="1015">
        <v>0</v>
      </c>
      <c r="E29" s="1015">
        <f>C29+D29</f>
        <v>18162</v>
      </c>
      <c r="F29" s="1012"/>
      <c r="G29" s="1012"/>
      <c r="H29" s="1012"/>
      <c r="I29" s="1012"/>
      <c r="J29" s="1012"/>
    </row>
    <row r="30" spans="1:10" ht="20.100000000000001" customHeight="1" x14ac:dyDescent="0.25">
      <c r="A30" s="19" t="s">
        <v>574</v>
      </c>
      <c r="B30" s="1014" t="s">
        <v>201</v>
      </c>
      <c r="C30" s="1015"/>
      <c r="D30" s="1015"/>
      <c r="E30" s="1015"/>
      <c r="F30" s="1012"/>
      <c r="G30" s="1012"/>
      <c r="H30" s="1012"/>
      <c r="I30" s="1012"/>
      <c r="J30" s="1012"/>
    </row>
    <row r="31" spans="1:10" ht="32.25" customHeight="1" x14ac:dyDescent="0.25">
      <c r="A31" s="19" t="s">
        <v>575</v>
      </c>
      <c r="B31" s="1027" t="s">
        <v>1153</v>
      </c>
      <c r="C31" s="1028">
        <v>1838</v>
      </c>
      <c r="D31" s="1028"/>
      <c r="E31" s="1028">
        <f>SUM(C31:D31)</f>
        <v>1838</v>
      </c>
      <c r="F31" s="1012"/>
      <c r="G31" s="1012"/>
      <c r="H31" s="1012"/>
      <c r="I31" s="1012"/>
      <c r="J31" s="1012"/>
    </row>
    <row r="32" spans="1:10" s="13" customFormat="1" ht="20.100000000000001" customHeight="1" x14ac:dyDescent="0.25">
      <c r="A32" s="19" t="s">
        <v>576</v>
      </c>
      <c r="B32" s="1029" t="s">
        <v>561</v>
      </c>
      <c r="C32" s="400">
        <f>C29+C31</f>
        <v>20000</v>
      </c>
      <c r="D32" s="400">
        <f t="shared" ref="D32:E32" si="0">D29+D31</f>
        <v>0</v>
      </c>
      <c r="E32" s="400">
        <f t="shared" si="0"/>
        <v>20000</v>
      </c>
      <c r="F32" s="1018"/>
      <c r="G32" s="1018"/>
      <c r="H32" s="1018"/>
      <c r="I32" s="1018"/>
      <c r="J32" s="1018"/>
    </row>
    <row r="33" spans="1:10" s="13" customFormat="1" ht="20.100000000000001" customHeight="1" x14ac:dyDescent="0.25">
      <c r="A33" s="19" t="s">
        <v>577</v>
      </c>
      <c r="B33" s="1029" t="s">
        <v>324</v>
      </c>
      <c r="C33" s="400">
        <f>C26+C32</f>
        <v>285118</v>
      </c>
      <c r="D33" s="400">
        <f>D26+D32</f>
        <v>65088</v>
      </c>
      <c r="E33" s="400">
        <f>E26+E32</f>
        <v>350206</v>
      </c>
      <c r="F33" s="1018"/>
      <c r="G33" s="1018"/>
      <c r="H33" s="1018"/>
      <c r="I33" s="1018"/>
      <c r="J33" s="1018"/>
    </row>
    <row r="34" spans="1:10" s="13" customFormat="1" ht="20.100000000000001" customHeight="1" x14ac:dyDescent="0.25">
      <c r="A34" s="14"/>
      <c r="B34" s="24"/>
      <c r="C34" s="23"/>
      <c r="D34" s="294"/>
    </row>
    <row r="35" spans="1:10" ht="19.5" customHeight="1" x14ac:dyDescent="0.25">
      <c r="B35" s="25"/>
      <c r="C35" s="22"/>
    </row>
    <row r="36" spans="1:10" ht="15" customHeight="1" x14ac:dyDescent="0.25">
      <c r="B36" s="15"/>
      <c r="C36" s="22"/>
      <c r="H36" s="412"/>
    </row>
    <row r="37" spans="1:10" x14ac:dyDescent="0.25">
      <c r="B37" s="15"/>
      <c r="C37" s="22"/>
    </row>
    <row r="38" spans="1:10" x14ac:dyDescent="0.25">
      <c r="B38" s="15"/>
      <c r="C38" s="22"/>
    </row>
    <row r="39" spans="1:10" x14ac:dyDescent="0.25">
      <c r="B39" s="15"/>
      <c r="C39" s="22"/>
    </row>
  </sheetData>
  <sheetProtection selectLockedCells="1" selectUnlockedCells="1"/>
  <mergeCells count="12">
    <mergeCell ref="F10:G10"/>
    <mergeCell ref="H10:J10"/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56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60"/>
  <sheetViews>
    <sheetView zoomScale="120" workbookViewId="0">
      <selection activeCell="H43" sqref="H43:J51"/>
    </sheetView>
  </sheetViews>
  <sheetFormatPr defaultColWidth="9.140625" defaultRowHeight="11.25" x14ac:dyDescent="0.2"/>
  <cols>
    <col min="1" max="1" width="3.7109375" style="127" customWidth="1"/>
    <col min="2" max="2" width="37.28515625" style="127" customWidth="1"/>
    <col min="3" max="3" width="12" style="128" customWidth="1"/>
    <col min="4" max="4" width="11.140625" style="128" customWidth="1"/>
    <col min="5" max="5" width="12.140625" style="128" customWidth="1"/>
    <col min="6" max="6" width="10.85546875" style="128" customWidth="1"/>
    <col min="7" max="7" width="10.7109375" style="128" customWidth="1"/>
    <col min="8" max="10" width="10.85546875" style="128" customWidth="1"/>
    <col min="11" max="11" width="38.7109375" style="128" customWidth="1"/>
    <col min="12" max="12" width="11.5703125" style="128" customWidth="1"/>
    <col min="13" max="13" width="11.7109375" style="128" customWidth="1"/>
    <col min="14" max="14" width="14.5703125" style="128" customWidth="1"/>
    <col min="15" max="15" width="7.7109375" style="263" hidden="1" customWidth="1"/>
    <col min="16" max="16" width="7.140625" style="263" hidden="1" customWidth="1"/>
    <col min="17" max="17" width="7.85546875" style="263" hidden="1" customWidth="1"/>
    <col min="18" max="20" width="10.85546875" style="8" customWidth="1"/>
    <col min="21" max="21" width="10.7109375" style="8" customWidth="1"/>
    <col min="22" max="22" width="11" style="8" customWidth="1"/>
    <col min="23" max="16384" width="9.140625" style="8"/>
  </cols>
  <sheetData>
    <row r="1" spans="1:22" ht="12.75" customHeight="1" x14ac:dyDescent="0.2">
      <c r="A1" s="1301" t="s">
        <v>1262</v>
      </c>
      <c r="B1" s="1301"/>
      <c r="C1" s="1301"/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1301"/>
      <c r="P1" s="1301"/>
      <c r="Q1" s="1301"/>
      <c r="R1" s="1301"/>
      <c r="S1" s="1301"/>
      <c r="T1" s="1301"/>
      <c r="U1" s="1301"/>
      <c r="V1" s="1301"/>
    </row>
    <row r="2" spans="1:22" x14ac:dyDescent="0.2">
      <c r="N2" s="129"/>
    </row>
    <row r="3" spans="1:22" s="100" customFormat="1" ht="12.75" customHeight="1" x14ac:dyDescent="0.2">
      <c r="A3" s="1308" t="s">
        <v>78</v>
      </c>
      <c r="B3" s="1308"/>
      <c r="C3" s="1308"/>
      <c r="D3" s="1308"/>
      <c r="E3" s="1308"/>
      <c r="F3" s="1308"/>
      <c r="G3" s="1308"/>
      <c r="H3" s="1308"/>
      <c r="I3" s="1308"/>
      <c r="J3" s="1308"/>
      <c r="K3" s="1308"/>
      <c r="L3" s="1308"/>
      <c r="M3" s="1308"/>
      <c r="N3" s="1308"/>
      <c r="O3" s="1308"/>
      <c r="P3" s="1308"/>
      <c r="Q3" s="1308"/>
      <c r="R3" s="1308"/>
      <c r="S3" s="1308"/>
      <c r="T3" s="1308"/>
      <c r="U3" s="1308"/>
      <c r="V3" s="1308"/>
    </row>
    <row r="4" spans="1:22" s="100" customFormat="1" ht="12.75" customHeight="1" x14ac:dyDescent="0.2">
      <c r="A4" s="1402" t="s">
        <v>1130</v>
      </c>
      <c r="B4" s="1402"/>
      <c r="C4" s="1402"/>
      <c r="D4" s="1402"/>
      <c r="E4" s="1402"/>
      <c r="F4" s="1402"/>
      <c r="G4" s="1402"/>
      <c r="H4" s="1402"/>
      <c r="I4" s="1402"/>
      <c r="J4" s="1402"/>
      <c r="K4" s="1402"/>
      <c r="L4" s="1402"/>
      <c r="M4" s="1402"/>
      <c r="N4" s="1402"/>
      <c r="O4" s="1402"/>
      <c r="P4" s="1402"/>
      <c r="Q4" s="1402"/>
      <c r="R4" s="1402"/>
      <c r="S4" s="1402"/>
      <c r="T4" s="1402"/>
      <c r="U4" s="1402"/>
      <c r="V4" s="1402"/>
    </row>
    <row r="5" spans="1:22" s="100" customFormat="1" ht="12.75" customHeight="1" x14ac:dyDescent="0.2">
      <c r="A5" s="1302" t="s">
        <v>321</v>
      </c>
      <c r="B5" s="1302"/>
      <c r="C5" s="1302"/>
      <c r="D5" s="1302"/>
      <c r="E5" s="1302"/>
      <c r="F5" s="1302"/>
      <c r="G5" s="1302"/>
      <c r="H5" s="1302"/>
      <c r="I5" s="1302"/>
      <c r="J5" s="1302"/>
      <c r="K5" s="1302"/>
      <c r="L5" s="1302"/>
      <c r="M5" s="1302"/>
      <c r="N5" s="1302"/>
      <c r="O5" s="1302"/>
      <c r="P5" s="1302"/>
      <c r="Q5" s="1302"/>
      <c r="R5" s="1302"/>
      <c r="S5" s="1302"/>
      <c r="T5" s="1302"/>
      <c r="U5" s="1302"/>
      <c r="V5" s="1302"/>
    </row>
    <row r="6" spans="1:22" s="100" customFormat="1" ht="12.75" customHeight="1" x14ac:dyDescent="0.2">
      <c r="A6" s="1305" t="s">
        <v>56</v>
      </c>
      <c r="B6" s="1306" t="s">
        <v>57</v>
      </c>
      <c r="C6" s="1306" t="s">
        <v>58</v>
      </c>
      <c r="D6" s="1306"/>
      <c r="E6" s="1306"/>
      <c r="F6" s="1306"/>
      <c r="G6" s="1306"/>
      <c r="H6" s="1306"/>
      <c r="I6" s="1306"/>
      <c r="J6" s="1306"/>
      <c r="K6" s="1307" t="s">
        <v>59</v>
      </c>
      <c r="L6" s="1304" t="s">
        <v>60</v>
      </c>
      <c r="M6" s="1304"/>
      <c r="N6" s="1304"/>
      <c r="O6" s="1304"/>
      <c r="P6" s="1304"/>
      <c r="Q6" s="1304"/>
      <c r="R6" s="1304"/>
      <c r="S6" s="1304"/>
      <c r="T6" s="1304"/>
      <c r="U6" s="1304"/>
      <c r="V6" s="1304"/>
    </row>
    <row r="7" spans="1:22" s="100" customFormat="1" ht="12.75" customHeight="1" x14ac:dyDescent="0.2">
      <c r="A7" s="1305"/>
      <c r="B7" s="1306"/>
      <c r="C7" s="1303" t="s">
        <v>1125</v>
      </c>
      <c r="D7" s="1303"/>
      <c r="E7" s="1303"/>
      <c r="F7" s="1303" t="s">
        <v>1267</v>
      </c>
      <c r="G7" s="1303"/>
      <c r="H7" s="1303" t="s">
        <v>1266</v>
      </c>
      <c r="I7" s="1303"/>
      <c r="J7" s="1303"/>
      <c r="K7" s="1307"/>
      <c r="L7" s="1303" t="s">
        <v>1125</v>
      </c>
      <c r="M7" s="1303"/>
      <c r="N7" s="1303"/>
      <c r="O7" s="1065"/>
      <c r="P7" s="1065"/>
      <c r="Q7" s="1065"/>
      <c r="R7" s="1303" t="s">
        <v>1267</v>
      </c>
      <c r="S7" s="1303"/>
      <c r="T7" s="1303" t="s">
        <v>1266</v>
      </c>
      <c r="U7" s="1303"/>
      <c r="V7" s="1303"/>
    </row>
    <row r="8" spans="1:22" s="101" customFormat="1" ht="36.6" customHeight="1" x14ac:dyDescent="0.2">
      <c r="A8" s="1305"/>
      <c r="B8" s="1164" t="s">
        <v>61</v>
      </c>
      <c r="C8" s="753" t="s">
        <v>62</v>
      </c>
      <c r="D8" s="753" t="s">
        <v>63</v>
      </c>
      <c r="E8" s="753" t="s">
        <v>64</v>
      </c>
      <c r="F8" s="753" t="s">
        <v>62</v>
      </c>
      <c r="G8" s="753" t="s">
        <v>63</v>
      </c>
      <c r="H8" s="753" t="s">
        <v>62</v>
      </c>
      <c r="I8" s="753" t="s">
        <v>63</v>
      </c>
      <c r="J8" s="753" t="s">
        <v>64</v>
      </c>
      <c r="K8" s="1163" t="s">
        <v>65</v>
      </c>
      <c r="L8" s="753" t="s">
        <v>62</v>
      </c>
      <c r="M8" s="753" t="s">
        <v>63</v>
      </c>
      <c r="N8" s="753" t="s">
        <v>64</v>
      </c>
      <c r="O8" s="1168"/>
      <c r="P8" s="1168"/>
      <c r="Q8" s="1168"/>
      <c r="R8" s="753" t="s">
        <v>62</v>
      </c>
      <c r="S8" s="753" t="s">
        <v>63</v>
      </c>
      <c r="T8" s="753" t="s">
        <v>62</v>
      </c>
      <c r="U8" s="753" t="s">
        <v>63</v>
      </c>
      <c r="V8" s="753" t="s">
        <v>64</v>
      </c>
    </row>
    <row r="9" spans="1:22" ht="11.45" customHeight="1" x14ac:dyDescent="0.2">
      <c r="A9" s="624">
        <v>1</v>
      </c>
      <c r="B9" s="1252" t="s">
        <v>24</v>
      </c>
      <c r="C9" s="140"/>
      <c r="D9" s="140"/>
      <c r="E9" s="140"/>
      <c r="F9" s="140"/>
      <c r="G9" s="140"/>
      <c r="H9" s="140"/>
      <c r="I9" s="140"/>
      <c r="J9" s="1262"/>
      <c r="K9" s="103" t="s">
        <v>25</v>
      </c>
      <c r="L9" s="140"/>
      <c r="M9" s="140"/>
      <c r="N9" s="136"/>
      <c r="O9" s="231"/>
      <c r="P9" s="231"/>
      <c r="Q9" s="231"/>
      <c r="R9" s="231"/>
      <c r="S9" s="231"/>
      <c r="T9" s="231"/>
      <c r="U9" s="231"/>
      <c r="V9" s="231"/>
    </row>
    <row r="10" spans="1:22" x14ac:dyDescent="0.2">
      <c r="A10" s="624">
        <f t="shared" ref="A10:A53" si="0">A9+1</f>
        <v>2</v>
      </c>
      <c r="B10" s="134" t="s">
        <v>35</v>
      </c>
      <c r="C10" s="225"/>
      <c r="D10" s="225"/>
      <c r="E10" s="225">
        <f>SUM(C10:D10)</f>
        <v>0</v>
      </c>
      <c r="F10" s="225"/>
      <c r="G10" s="225"/>
      <c r="H10" s="225"/>
      <c r="I10" s="225"/>
      <c r="J10" s="390"/>
      <c r="K10" s="225" t="s">
        <v>231</v>
      </c>
      <c r="L10" s="225">
        <f>'műk. kiad. szakf Önkorm. '!D63</f>
        <v>60368</v>
      </c>
      <c r="M10" s="225">
        <f>'műk. kiad. szakf Önkorm. '!G63</f>
        <v>47841</v>
      </c>
      <c r="N10" s="1253">
        <f>SUM(L10:M10)</f>
        <v>108209</v>
      </c>
      <c r="O10" s="231"/>
      <c r="P10" s="231"/>
      <c r="Q10" s="231"/>
      <c r="R10" s="232">
        <v>10</v>
      </c>
      <c r="S10" s="232"/>
      <c r="T10" s="232">
        <f>L10+R10</f>
        <v>60378</v>
      </c>
      <c r="U10" s="232">
        <f>M10+S10</f>
        <v>47841</v>
      </c>
      <c r="V10" s="232">
        <f>T10+U10</f>
        <v>108219</v>
      </c>
    </row>
    <row r="11" spans="1:22" x14ac:dyDescent="0.2">
      <c r="A11" s="624">
        <f t="shared" si="0"/>
        <v>3</v>
      </c>
      <c r="B11" s="134" t="s">
        <v>206</v>
      </c>
      <c r="C11" s="225">
        <f>'tám, végl. pe.átv  '!C11+'tám, végl. pe.átv  '!C19+'tám, végl. pe.átv  '!C20</f>
        <v>722724</v>
      </c>
      <c r="D11" s="225">
        <f>'tám, végl. pe.átv  '!D11+'tám, végl. pe.átv  '!D19+'tám, végl. pe.átv  '!D20</f>
        <v>93769</v>
      </c>
      <c r="E11" s="225">
        <f>'tám, végl. pe.átv  '!E11+'tám, végl. pe.átv  '!E19+'tám, végl. pe.átv  '!E20</f>
        <v>816493</v>
      </c>
      <c r="F11" s="225">
        <v>18258</v>
      </c>
      <c r="G11" s="225"/>
      <c r="H11" s="225">
        <f>C11+F11</f>
        <v>740982</v>
      </c>
      <c r="I11" s="225">
        <f t="shared" ref="I11:I26" si="1">D11+G11</f>
        <v>93769</v>
      </c>
      <c r="J11" s="390">
        <f>H11+I11</f>
        <v>834751</v>
      </c>
      <c r="K11" s="225" t="s">
        <v>232</v>
      </c>
      <c r="L11" s="225">
        <f>'műk. kiad. szakf Önkorm. '!J63</f>
        <v>18106</v>
      </c>
      <c r="M11" s="225">
        <f>'műk. kiad. szakf Önkorm. '!M63</f>
        <v>16376.32</v>
      </c>
      <c r="N11" s="1253">
        <f>SUM(L11:M11)</f>
        <v>34482.32</v>
      </c>
      <c r="O11" s="231"/>
      <c r="P11" s="231"/>
      <c r="Q11" s="231"/>
      <c r="R11" s="232"/>
      <c r="S11" s="232"/>
      <c r="T11" s="232">
        <f t="shared" ref="T11:T20" si="2">L11+R11</f>
        <v>18106</v>
      </c>
      <c r="U11" s="232">
        <f t="shared" ref="U11:U20" si="3">M11+S11</f>
        <v>16376.32</v>
      </c>
      <c r="V11" s="232">
        <f t="shared" ref="V11:V20" si="4">T11+U11</f>
        <v>34482.32</v>
      </c>
    </row>
    <row r="12" spans="1:22" x14ac:dyDescent="0.2">
      <c r="A12" s="624">
        <f t="shared" si="0"/>
        <v>4</v>
      </c>
      <c r="B12" s="134" t="s">
        <v>203</v>
      </c>
      <c r="C12" s="225"/>
      <c r="D12" s="225">
        <v>0</v>
      </c>
      <c r="E12" s="225">
        <f>C12+D12</f>
        <v>0</v>
      </c>
      <c r="F12" s="225"/>
      <c r="G12" s="225"/>
      <c r="H12" s="225">
        <f t="shared" ref="H12:I29" si="5">C12+F12</f>
        <v>0</v>
      </c>
      <c r="I12" s="225">
        <f t="shared" si="1"/>
        <v>0</v>
      </c>
      <c r="J12" s="390">
        <f t="shared" ref="J12:J29" si="6">H12+I12</f>
        <v>0</v>
      </c>
      <c r="K12" s="225" t="s">
        <v>233</v>
      </c>
      <c r="L12" s="225">
        <f>'műk. kiad. szakf Önkorm. '!P63</f>
        <v>265703</v>
      </c>
      <c r="M12" s="225">
        <f>'műk. kiad. szakf Önkorm. '!S63</f>
        <v>184545</v>
      </c>
      <c r="N12" s="1253">
        <f>SUM(L12:M12)</f>
        <v>450248</v>
      </c>
      <c r="O12" s="231"/>
      <c r="P12" s="231"/>
      <c r="Q12" s="231"/>
      <c r="R12" s="232">
        <v>14976</v>
      </c>
      <c r="S12" s="232">
        <v>-1963</v>
      </c>
      <c r="T12" s="232">
        <f t="shared" si="2"/>
        <v>280679</v>
      </c>
      <c r="U12" s="232">
        <f t="shared" si="3"/>
        <v>182582</v>
      </c>
      <c r="V12" s="232">
        <f t="shared" si="4"/>
        <v>463261</v>
      </c>
    </row>
    <row r="13" spans="1:22" ht="12" customHeight="1" x14ac:dyDescent="0.2">
      <c r="A13" s="624">
        <f t="shared" si="0"/>
        <v>5</v>
      </c>
      <c r="B13" s="1276" t="s">
        <v>207</v>
      </c>
      <c r="C13" s="225">
        <f>'tám, végl. pe.átv  '!C40</f>
        <v>11657</v>
      </c>
      <c r="D13" s="225">
        <f>'tám, végl. pe.átv  '!D40</f>
        <v>0</v>
      </c>
      <c r="E13" s="225">
        <f>'tám, végl. pe.átv  '!E40</f>
        <v>11657</v>
      </c>
      <c r="F13" s="225">
        <v>-1429</v>
      </c>
      <c r="G13" s="225">
        <v>2450</v>
      </c>
      <c r="H13" s="225">
        <f t="shared" si="5"/>
        <v>10228</v>
      </c>
      <c r="I13" s="225">
        <f t="shared" si="1"/>
        <v>2450</v>
      </c>
      <c r="J13" s="390">
        <f t="shared" si="6"/>
        <v>12678</v>
      </c>
      <c r="K13" s="225"/>
      <c r="L13" s="225"/>
      <c r="M13" s="225"/>
      <c r="N13" s="1253"/>
      <c r="O13" s="231"/>
      <c r="P13" s="231"/>
      <c r="Q13" s="231"/>
      <c r="R13" s="232"/>
      <c r="S13" s="232"/>
      <c r="T13" s="232">
        <f t="shared" si="2"/>
        <v>0</v>
      </c>
      <c r="U13" s="232">
        <f t="shared" si="3"/>
        <v>0</v>
      </c>
      <c r="V13" s="232">
        <f t="shared" si="4"/>
        <v>0</v>
      </c>
    </row>
    <row r="14" spans="1:22" x14ac:dyDescent="0.2">
      <c r="A14" s="624">
        <f t="shared" si="0"/>
        <v>6</v>
      </c>
      <c r="B14" s="134" t="s">
        <v>208</v>
      </c>
      <c r="C14" s="225">
        <f>'felh. bev.  '!D27</f>
        <v>0</v>
      </c>
      <c r="D14" s="225">
        <f>'felh. bev.  '!E27</f>
        <v>0</v>
      </c>
      <c r="E14" s="225">
        <f>SUM(C14:D14)</f>
        <v>0</v>
      </c>
      <c r="F14" s="225"/>
      <c r="G14" s="225">
        <v>93253</v>
      </c>
      <c r="H14" s="225">
        <f t="shared" si="5"/>
        <v>0</v>
      </c>
      <c r="I14" s="225">
        <f t="shared" si="1"/>
        <v>93253</v>
      </c>
      <c r="J14" s="390">
        <f t="shared" si="6"/>
        <v>93253</v>
      </c>
      <c r="K14" s="225" t="s">
        <v>234</v>
      </c>
      <c r="L14" s="232">
        <f>'műk. kiad. szakf Önkorm. '!AJ63</f>
        <v>0</v>
      </c>
      <c r="M14" s="232">
        <f>'ellátottak önk.'!F32</f>
        <v>13750</v>
      </c>
      <c r="N14" s="1253">
        <f>SUM(L14:M14)</f>
        <v>13750</v>
      </c>
      <c r="O14" s="231"/>
      <c r="P14" s="231"/>
      <c r="Q14" s="231"/>
      <c r="R14" s="232">
        <v>2800</v>
      </c>
      <c r="S14" s="232">
        <v>-2800</v>
      </c>
      <c r="T14" s="232">
        <f t="shared" si="2"/>
        <v>2800</v>
      </c>
      <c r="U14" s="232">
        <f t="shared" si="3"/>
        <v>10950</v>
      </c>
      <c r="V14" s="232">
        <f t="shared" si="4"/>
        <v>13750</v>
      </c>
    </row>
    <row r="15" spans="1:22" x14ac:dyDescent="0.2">
      <c r="A15" s="624">
        <f t="shared" si="0"/>
        <v>7</v>
      </c>
      <c r="B15" s="134"/>
      <c r="C15" s="225"/>
      <c r="D15" s="225"/>
      <c r="E15" s="225"/>
      <c r="F15" s="225"/>
      <c r="G15" s="225"/>
      <c r="H15" s="225">
        <f t="shared" si="5"/>
        <v>0</v>
      </c>
      <c r="I15" s="225">
        <f t="shared" si="1"/>
        <v>0</v>
      </c>
      <c r="J15" s="390">
        <f t="shared" si="6"/>
        <v>0</v>
      </c>
      <c r="K15" s="225" t="s">
        <v>235</v>
      </c>
      <c r="L15" s="232"/>
      <c r="M15" s="232"/>
      <c r="N15" s="1253"/>
      <c r="O15" s="231"/>
      <c r="P15" s="231"/>
      <c r="Q15" s="231"/>
      <c r="R15" s="232"/>
      <c r="S15" s="232"/>
      <c r="T15" s="232"/>
      <c r="U15" s="232"/>
      <c r="V15" s="232"/>
    </row>
    <row r="16" spans="1:22" x14ac:dyDescent="0.2">
      <c r="A16" s="624">
        <f t="shared" si="0"/>
        <v>8</v>
      </c>
      <c r="B16" s="134" t="s">
        <v>209</v>
      </c>
      <c r="C16" s="225">
        <f>'közhatalmi bevételek'!D31</f>
        <v>543007</v>
      </c>
      <c r="D16" s="225">
        <f>'közhatalmi bevételek'!E31</f>
        <v>692313</v>
      </c>
      <c r="E16" s="225">
        <f>'közhatalmi bevételek'!F31</f>
        <v>1235320</v>
      </c>
      <c r="F16" s="225">
        <v>-86701</v>
      </c>
      <c r="G16" s="225">
        <v>86701</v>
      </c>
      <c r="H16" s="225">
        <f t="shared" si="5"/>
        <v>456306</v>
      </c>
      <c r="I16" s="225">
        <f t="shared" si="1"/>
        <v>779014</v>
      </c>
      <c r="J16" s="390">
        <f t="shared" si="6"/>
        <v>1235320</v>
      </c>
      <c r="K16" s="225" t="s">
        <v>236</v>
      </c>
      <c r="L16" s="232">
        <f>mc.pe.átad!D21</f>
        <v>7750</v>
      </c>
      <c r="M16" s="232">
        <f>mc.pe.átad!E21</f>
        <v>40162</v>
      </c>
      <c r="N16" s="232">
        <f>mc.pe.átad!F21</f>
        <v>47912</v>
      </c>
      <c r="O16" s="231"/>
      <c r="P16" s="231"/>
      <c r="Q16" s="231"/>
      <c r="R16" s="232">
        <v>-2000</v>
      </c>
      <c r="S16" s="232">
        <v>5461</v>
      </c>
      <c r="T16" s="232">
        <f t="shared" si="2"/>
        <v>5750</v>
      </c>
      <c r="U16" s="232">
        <f t="shared" si="3"/>
        <v>45623</v>
      </c>
      <c r="V16" s="232">
        <f t="shared" si="4"/>
        <v>51373</v>
      </c>
    </row>
    <row r="17" spans="1:22" x14ac:dyDescent="0.2">
      <c r="A17" s="624">
        <f t="shared" si="0"/>
        <v>9</v>
      </c>
      <c r="B17" s="137" t="s">
        <v>40</v>
      </c>
      <c r="C17" s="1253"/>
      <c r="D17" s="1253"/>
      <c r="E17" s="1253"/>
      <c r="F17" s="1253"/>
      <c r="G17" s="1253"/>
      <c r="H17" s="225">
        <f t="shared" si="5"/>
        <v>0</v>
      </c>
      <c r="I17" s="225">
        <f t="shared" si="1"/>
        <v>0</v>
      </c>
      <c r="J17" s="390">
        <f t="shared" si="6"/>
        <v>0</v>
      </c>
      <c r="K17" s="225" t="s">
        <v>237</v>
      </c>
      <c r="L17" s="232">
        <f>mc.pe.átad!D53</f>
        <v>266185</v>
      </c>
      <c r="M17" s="232">
        <f>mc.pe.átad!E53</f>
        <v>19908</v>
      </c>
      <c r="N17" s="232">
        <f>mc.pe.átad!F53</f>
        <v>286093</v>
      </c>
      <c r="O17" s="231"/>
      <c r="P17" s="231"/>
      <c r="Q17" s="231"/>
      <c r="R17" s="232">
        <v>-149500</v>
      </c>
      <c r="S17" s="232">
        <v>150500</v>
      </c>
      <c r="T17" s="232">
        <f t="shared" si="2"/>
        <v>116685</v>
      </c>
      <c r="U17" s="232">
        <f t="shared" si="3"/>
        <v>170408</v>
      </c>
      <c r="V17" s="232">
        <f t="shared" si="4"/>
        <v>287093</v>
      </c>
    </row>
    <row r="18" spans="1:22" x14ac:dyDescent="0.2">
      <c r="A18" s="624">
        <f t="shared" si="0"/>
        <v>10</v>
      </c>
      <c r="B18" s="137"/>
      <c r="C18" s="1253"/>
      <c r="D18" s="1253"/>
      <c r="E18" s="1253"/>
      <c r="F18" s="1253"/>
      <c r="G18" s="1253"/>
      <c r="H18" s="225">
        <f t="shared" si="5"/>
        <v>0</v>
      </c>
      <c r="I18" s="225">
        <f t="shared" si="1"/>
        <v>0</v>
      </c>
      <c r="J18" s="390">
        <f t="shared" si="6"/>
        <v>0</v>
      </c>
      <c r="K18" s="225" t="s">
        <v>285</v>
      </c>
      <c r="L18" s="232">
        <f>'műk. kiad. szakf Önkorm. '!AH63</f>
        <v>451</v>
      </c>
      <c r="M18" s="232">
        <f>'műk. kiad. szakf Önkorm. '!AI63</f>
        <v>0</v>
      </c>
      <c r="N18" s="232">
        <f>L18+M18</f>
        <v>451</v>
      </c>
      <c r="O18" s="231"/>
      <c r="P18" s="231"/>
      <c r="Q18" s="231"/>
      <c r="R18" s="232"/>
      <c r="S18" s="232"/>
      <c r="T18" s="232">
        <f t="shared" si="2"/>
        <v>451</v>
      </c>
      <c r="U18" s="232">
        <f t="shared" si="3"/>
        <v>0</v>
      </c>
      <c r="V18" s="232">
        <f t="shared" si="4"/>
        <v>451</v>
      </c>
    </row>
    <row r="19" spans="1:22" x14ac:dyDescent="0.2">
      <c r="A19" s="624">
        <f t="shared" si="0"/>
        <v>11</v>
      </c>
      <c r="B19" s="134" t="s">
        <v>210</v>
      </c>
      <c r="C19" s="1253">
        <v>40369</v>
      </c>
      <c r="D19" s="1253">
        <f>43775+2745</f>
        <v>46520</v>
      </c>
      <c r="E19" s="1253">
        <f>SUM(C19:D19)</f>
        <v>86889</v>
      </c>
      <c r="F19" s="1253"/>
      <c r="G19" s="1253">
        <v>1820</v>
      </c>
      <c r="H19" s="225">
        <f t="shared" si="5"/>
        <v>40369</v>
      </c>
      <c r="I19" s="225">
        <f t="shared" si="1"/>
        <v>48340</v>
      </c>
      <c r="J19" s="390">
        <f t="shared" si="6"/>
        <v>88709</v>
      </c>
      <c r="K19" s="225" t="s">
        <v>239</v>
      </c>
      <c r="L19" s="232">
        <f>tartalék!C25</f>
        <v>0</v>
      </c>
      <c r="M19" s="232">
        <f>tartalék!D25</f>
        <v>65088</v>
      </c>
      <c r="N19" s="1277">
        <f>SUM(L19:M19)</f>
        <v>65088</v>
      </c>
      <c r="O19" s="231"/>
      <c r="P19" s="231"/>
      <c r="Q19" s="231"/>
      <c r="R19" s="232"/>
      <c r="S19" s="232">
        <v>-1059</v>
      </c>
      <c r="T19" s="232">
        <f t="shared" si="2"/>
        <v>0</v>
      </c>
      <c r="U19" s="232">
        <f t="shared" si="3"/>
        <v>64029</v>
      </c>
      <c r="V19" s="232">
        <f t="shared" si="4"/>
        <v>64029</v>
      </c>
    </row>
    <row r="20" spans="1:22" x14ac:dyDescent="0.2">
      <c r="A20" s="624">
        <f t="shared" si="0"/>
        <v>12</v>
      </c>
      <c r="B20" s="147"/>
      <c r="C20" s="1253"/>
      <c r="D20" s="1253"/>
      <c r="E20" s="1253"/>
      <c r="F20" s="1253"/>
      <c r="G20" s="1253"/>
      <c r="H20" s="225"/>
      <c r="I20" s="225">
        <f t="shared" si="1"/>
        <v>0</v>
      </c>
      <c r="J20" s="390">
        <f t="shared" si="6"/>
        <v>0</v>
      </c>
      <c r="K20" s="225" t="s">
        <v>286</v>
      </c>
      <c r="L20" s="232">
        <f>tartalék!C32</f>
        <v>20000</v>
      </c>
      <c r="M20" s="232">
        <f>tartalék!D32</f>
        <v>0</v>
      </c>
      <c r="N20" s="232">
        <f>tartalék!E32</f>
        <v>20000</v>
      </c>
      <c r="O20" s="231"/>
      <c r="P20" s="231"/>
      <c r="Q20" s="231"/>
      <c r="R20" s="232">
        <v>-15917</v>
      </c>
      <c r="S20" s="232">
        <v>152</v>
      </c>
      <c r="T20" s="232">
        <f t="shared" si="2"/>
        <v>4083</v>
      </c>
      <c r="U20" s="232">
        <f t="shared" si="3"/>
        <v>152</v>
      </c>
      <c r="V20" s="232">
        <f t="shared" si="4"/>
        <v>4235</v>
      </c>
    </row>
    <row r="21" spans="1:22" s="102" customFormat="1" x14ac:dyDescent="0.2">
      <c r="A21" s="624">
        <f t="shared" si="0"/>
        <v>13</v>
      </c>
      <c r="B21" s="147" t="s">
        <v>42</v>
      </c>
      <c r="C21" s="1253"/>
      <c r="D21" s="1253"/>
      <c r="E21" s="1253"/>
      <c r="F21" s="1253"/>
      <c r="G21" s="1253"/>
      <c r="H21" s="225"/>
      <c r="I21" s="225">
        <f t="shared" si="1"/>
        <v>0</v>
      </c>
      <c r="J21" s="390">
        <f t="shared" si="6"/>
        <v>0</v>
      </c>
      <c r="K21" s="232"/>
      <c r="L21" s="232"/>
      <c r="M21" s="232"/>
      <c r="N21" s="232"/>
      <c r="O21" s="1255"/>
      <c r="P21" s="1255"/>
      <c r="Q21" s="1255"/>
      <c r="R21" s="289"/>
      <c r="S21" s="289"/>
      <c r="T21" s="1255"/>
      <c r="U21" s="1255"/>
      <c r="V21" s="1255"/>
    </row>
    <row r="22" spans="1:22" s="102" customFormat="1" x14ac:dyDescent="0.2">
      <c r="A22" s="624">
        <f t="shared" si="0"/>
        <v>14</v>
      </c>
      <c r="B22" s="147" t="s">
        <v>982</v>
      </c>
      <c r="C22" s="1253"/>
      <c r="D22" s="1253"/>
      <c r="E22" s="1253"/>
      <c r="F22" s="1253"/>
      <c r="G22" s="1253"/>
      <c r="H22" s="225"/>
      <c r="I22" s="225">
        <f t="shared" si="1"/>
        <v>0</v>
      </c>
      <c r="J22" s="390">
        <f t="shared" si="6"/>
        <v>0</v>
      </c>
      <c r="K22" s="232"/>
      <c r="L22" s="232"/>
      <c r="M22" s="232"/>
      <c r="N22" s="232"/>
      <c r="O22" s="1255"/>
      <c r="P22" s="1255"/>
      <c r="Q22" s="1255"/>
      <c r="R22" s="289"/>
      <c r="S22" s="289"/>
      <c r="T22" s="1255"/>
      <c r="U22" s="1255"/>
      <c r="V22" s="1255"/>
    </row>
    <row r="23" spans="1:22" x14ac:dyDescent="0.2">
      <c r="A23" s="624">
        <f t="shared" si="0"/>
        <v>15</v>
      </c>
      <c r="B23" s="134" t="s">
        <v>981</v>
      </c>
      <c r="C23" s="225"/>
      <c r="D23" s="225"/>
      <c r="E23" s="1253"/>
      <c r="F23" s="1253"/>
      <c r="G23" s="1253">
        <v>6740</v>
      </c>
      <c r="H23" s="225"/>
      <c r="I23" s="225">
        <f t="shared" si="1"/>
        <v>6740</v>
      </c>
      <c r="J23" s="390">
        <f t="shared" si="6"/>
        <v>6740</v>
      </c>
      <c r="K23" s="288" t="s">
        <v>66</v>
      </c>
      <c r="L23" s="288">
        <f t="shared" ref="L23:Q23" si="7">SUM(L10:L21)</f>
        <v>638563</v>
      </c>
      <c r="M23" s="288">
        <f t="shared" si="7"/>
        <v>387670.32</v>
      </c>
      <c r="N23" s="288">
        <f t="shared" si="7"/>
        <v>1026233.3200000001</v>
      </c>
      <c r="O23" s="1256">
        <f t="shared" si="7"/>
        <v>0</v>
      </c>
      <c r="P23" s="1256">
        <f t="shared" si="7"/>
        <v>0</v>
      </c>
      <c r="Q23" s="1256">
        <f t="shared" si="7"/>
        <v>0</v>
      </c>
      <c r="R23" s="288">
        <f>SUM(R10:R22)</f>
        <v>-149631</v>
      </c>
      <c r="S23" s="288">
        <f>SUM(S10:S22)</f>
        <v>150291</v>
      </c>
      <c r="T23" s="288">
        <f>SUM(T10:T22)</f>
        <v>488932</v>
      </c>
      <c r="U23" s="288">
        <f>SUM(U10:U22)</f>
        <v>537961.32000000007</v>
      </c>
      <c r="V23" s="288">
        <f>SUM(V10:V22)</f>
        <v>1026893.3200000001</v>
      </c>
    </row>
    <row r="24" spans="1:22" x14ac:dyDescent="0.2">
      <c r="A24" s="624">
        <f t="shared" si="0"/>
        <v>16</v>
      </c>
      <c r="B24" s="134" t="s">
        <v>215</v>
      </c>
      <c r="C24" s="1253"/>
      <c r="D24" s="1253"/>
      <c r="E24" s="1253"/>
      <c r="F24" s="1253"/>
      <c r="G24" s="1253"/>
      <c r="H24" s="225"/>
      <c r="I24" s="225">
        <f t="shared" si="1"/>
        <v>0</v>
      </c>
      <c r="J24" s="390">
        <f t="shared" si="6"/>
        <v>0</v>
      </c>
      <c r="K24" s="232"/>
      <c r="L24" s="232"/>
      <c r="M24" s="232"/>
      <c r="N24" s="232"/>
      <c r="O24" s="231"/>
      <c r="P24" s="231"/>
      <c r="Q24" s="231"/>
      <c r="R24" s="232"/>
      <c r="S24" s="232"/>
      <c r="T24" s="231"/>
      <c r="U24" s="231"/>
      <c r="V24" s="231"/>
    </row>
    <row r="25" spans="1:22" x14ac:dyDescent="0.2">
      <c r="A25" s="624">
        <f t="shared" si="0"/>
        <v>17</v>
      </c>
      <c r="B25" s="134" t="s">
        <v>216</v>
      </c>
      <c r="C25" s="225"/>
      <c r="D25" s="225"/>
      <c r="E25" s="225"/>
      <c r="F25" s="225"/>
      <c r="G25" s="225"/>
      <c r="H25" s="225"/>
      <c r="I25" s="225">
        <f t="shared" si="1"/>
        <v>0</v>
      </c>
      <c r="J25" s="390">
        <f t="shared" si="6"/>
        <v>0</v>
      </c>
      <c r="K25" s="1279" t="s">
        <v>34</v>
      </c>
      <c r="L25" s="290"/>
      <c r="M25" s="290"/>
      <c r="N25" s="232"/>
      <c r="O25" s="231"/>
      <c r="P25" s="231"/>
      <c r="Q25" s="231"/>
      <c r="R25" s="232"/>
      <c r="S25" s="232"/>
      <c r="T25" s="231"/>
      <c r="U25" s="231"/>
      <c r="V25" s="231"/>
    </row>
    <row r="26" spans="1:22" x14ac:dyDescent="0.2">
      <c r="A26" s="624">
        <f t="shared" si="0"/>
        <v>18</v>
      </c>
      <c r="B26" s="134" t="s">
        <v>217</v>
      </c>
      <c r="C26" s="225"/>
      <c r="D26" s="225"/>
      <c r="E26" s="225"/>
      <c r="F26" s="225"/>
      <c r="G26" s="225"/>
      <c r="H26" s="225"/>
      <c r="I26" s="225">
        <f t="shared" si="1"/>
        <v>0</v>
      </c>
      <c r="J26" s="390">
        <f t="shared" si="6"/>
        <v>0</v>
      </c>
      <c r="K26" s="225" t="s">
        <v>288</v>
      </c>
      <c r="L26" s="232">
        <f>'felhalm. kiad.  '!M14+'felhalm. kiad.  '!M45+'felhalm. kiad.  '!M56+'felhalm. kiad.  '!M70</f>
        <v>2008255</v>
      </c>
      <c r="M26" s="232">
        <f>'felhalm. kiad.  '!P14+'felhalm. kiad.  '!P45+'felhalm. kiad.  '!P56+'felhalm. kiad.  '!P61+'felhalm. kiad.  '!P70+'felhalm. kiad.  '!P124</f>
        <v>40371</v>
      </c>
      <c r="N26" s="232">
        <f>SUM(L26:M26)</f>
        <v>2048626</v>
      </c>
      <c r="O26" s="231"/>
      <c r="P26" s="231"/>
      <c r="Q26" s="231"/>
      <c r="R26" s="232">
        <v>-14796</v>
      </c>
      <c r="S26" s="232">
        <v>102397</v>
      </c>
      <c r="T26" s="232">
        <f>L26+R26</f>
        <v>1993459</v>
      </c>
      <c r="U26" s="232">
        <f>M26+S26</f>
        <v>142768</v>
      </c>
      <c r="V26" s="232">
        <f>SUM(T26:U26)</f>
        <v>2136227</v>
      </c>
    </row>
    <row r="27" spans="1:22" x14ac:dyDescent="0.2">
      <c r="A27" s="624">
        <f t="shared" si="0"/>
        <v>19</v>
      </c>
      <c r="B27" s="134"/>
      <c r="C27" s="225"/>
      <c r="D27" s="225"/>
      <c r="E27" s="225"/>
      <c r="F27" s="225"/>
      <c r="G27" s="225"/>
      <c r="H27" s="225"/>
      <c r="I27" s="225">
        <f t="shared" si="5"/>
        <v>0</v>
      </c>
      <c r="J27" s="390">
        <f t="shared" si="6"/>
        <v>0</v>
      </c>
      <c r="K27" s="225" t="s">
        <v>243</v>
      </c>
      <c r="L27" s="232">
        <f>'felhalm. kiad.  '!M19</f>
        <v>10000</v>
      </c>
      <c r="M27" s="232">
        <f>'felhalm. kiad.  '!P19</f>
        <v>0</v>
      </c>
      <c r="N27" s="232">
        <f>SUM(L27:M27)</f>
        <v>10000</v>
      </c>
      <c r="O27" s="231"/>
      <c r="P27" s="231"/>
      <c r="Q27" s="231"/>
      <c r="R27" s="232"/>
      <c r="S27" s="232"/>
      <c r="T27" s="232">
        <f t="shared" ref="T27:T31" si="8">L27+R27</f>
        <v>10000</v>
      </c>
      <c r="U27" s="232">
        <f t="shared" ref="U27:U31" si="9">M27+S27</f>
        <v>0</v>
      </c>
      <c r="V27" s="232">
        <f t="shared" ref="V27:V32" si="10">SUM(T27:U27)</f>
        <v>10000</v>
      </c>
    </row>
    <row r="28" spans="1:22" x14ac:dyDescent="0.2">
      <c r="A28" s="624">
        <f t="shared" si="0"/>
        <v>20</v>
      </c>
      <c r="B28" s="147" t="s">
        <v>218</v>
      </c>
      <c r="C28" s="225"/>
      <c r="D28" s="225"/>
      <c r="E28" s="225"/>
      <c r="F28" s="225"/>
      <c r="G28" s="225">
        <v>62024</v>
      </c>
      <c r="H28" s="225"/>
      <c r="I28" s="225">
        <f t="shared" si="5"/>
        <v>62024</v>
      </c>
      <c r="J28" s="390">
        <f t="shared" si="6"/>
        <v>62024</v>
      </c>
      <c r="K28" s="225" t="s">
        <v>244</v>
      </c>
      <c r="L28" s="232"/>
      <c r="M28" s="232"/>
      <c r="N28" s="232"/>
      <c r="O28" s="231"/>
      <c r="P28" s="231"/>
      <c r="Q28" s="231"/>
      <c r="R28" s="232"/>
      <c r="S28" s="232"/>
      <c r="T28" s="232"/>
      <c r="U28" s="232"/>
      <c r="V28" s="232"/>
    </row>
    <row r="29" spans="1:22" s="102" customFormat="1" x14ac:dyDescent="0.2">
      <c r="A29" s="624">
        <f t="shared" si="0"/>
        <v>21</v>
      </c>
      <c r="B29" s="147" t="s">
        <v>284</v>
      </c>
      <c r="C29" s="225">
        <f>'felh. bev.  '!D31+'felh. bev.  '!D37</f>
        <v>0</v>
      </c>
      <c r="D29" s="225">
        <f>'felh. bev.  '!E31+'felh. bev.  '!E37</f>
        <v>2870</v>
      </c>
      <c r="E29" s="225">
        <f>'felh. bev.  '!F31+'felh. bev.  '!F37</f>
        <v>2870</v>
      </c>
      <c r="F29" s="225"/>
      <c r="G29" s="225"/>
      <c r="H29" s="225"/>
      <c r="I29" s="225">
        <f t="shared" si="5"/>
        <v>2870</v>
      </c>
      <c r="J29" s="390">
        <f t="shared" si="6"/>
        <v>2870</v>
      </c>
      <c r="K29" s="225" t="s">
        <v>246</v>
      </c>
      <c r="L29" s="232">
        <f>'felhalm. kiad.  '!M74</f>
        <v>0</v>
      </c>
      <c r="M29" s="232">
        <f>'felhalm. kiad.  '!P74</f>
        <v>0</v>
      </c>
      <c r="N29" s="232">
        <f>SUM(L29:M29)</f>
        <v>0</v>
      </c>
      <c r="O29" s="1255"/>
      <c r="P29" s="1255"/>
      <c r="Q29" s="1255"/>
      <c r="R29" s="289"/>
      <c r="S29" s="289"/>
      <c r="T29" s="232">
        <f t="shared" si="8"/>
        <v>0</v>
      </c>
      <c r="U29" s="232">
        <f t="shared" si="9"/>
        <v>0</v>
      </c>
      <c r="V29" s="232">
        <f t="shared" si="10"/>
        <v>0</v>
      </c>
    </row>
    <row r="30" spans="1:22" x14ac:dyDescent="0.2">
      <c r="A30" s="624">
        <f t="shared" si="0"/>
        <v>22</v>
      </c>
      <c r="B30" s="147"/>
      <c r="C30" s="225"/>
      <c r="D30" s="225"/>
      <c r="E30" s="225"/>
      <c r="F30" s="225"/>
      <c r="G30" s="225"/>
      <c r="H30" s="225"/>
      <c r="I30" s="225"/>
      <c r="J30" s="390"/>
      <c r="K30" s="225" t="s">
        <v>245</v>
      </c>
      <c r="L30" s="232">
        <f>'felhalm. kiad.  '!M84+'felhalm. kiad.  '!M89</f>
        <v>33252</v>
      </c>
      <c r="M30" s="232">
        <f>'felhalm. kiad.  '!P84+'felhalm. kiad.  '!P89</f>
        <v>35520</v>
      </c>
      <c r="N30" s="232">
        <f>SUM(L30:M30)</f>
        <v>68772</v>
      </c>
      <c r="O30" s="231"/>
      <c r="P30" s="231"/>
      <c r="Q30" s="231"/>
      <c r="R30" s="232"/>
      <c r="S30" s="232">
        <v>300</v>
      </c>
      <c r="T30" s="232">
        <f t="shared" si="8"/>
        <v>33252</v>
      </c>
      <c r="U30" s="232">
        <f t="shared" si="9"/>
        <v>35820</v>
      </c>
      <c r="V30" s="232">
        <f t="shared" si="10"/>
        <v>69072</v>
      </c>
    </row>
    <row r="31" spans="1:22" s="9" customFormat="1" x14ac:dyDescent="0.2">
      <c r="A31" s="624">
        <f t="shared" si="0"/>
        <v>23</v>
      </c>
      <c r="B31" s="1257" t="s">
        <v>52</v>
      </c>
      <c r="C31" s="1280">
        <f>C12+C19+C11+C16+C13</f>
        <v>1317757</v>
      </c>
      <c r="D31" s="1280">
        <f>D12+D19+D11+D16+D13+D28</f>
        <v>832602</v>
      </c>
      <c r="E31" s="1280">
        <f>E12+E19+E11+E16+E13+E28</f>
        <v>2150359</v>
      </c>
      <c r="F31" s="1280">
        <f>F11+F12+F13+F16+F19+F28</f>
        <v>-69872</v>
      </c>
      <c r="G31" s="1280">
        <f t="shared" ref="G31:J31" si="11">G11+G12+G13+G16+G19+G28</f>
        <v>152995</v>
      </c>
      <c r="H31" s="1280">
        <f t="shared" si="11"/>
        <v>1247885</v>
      </c>
      <c r="I31" s="1280">
        <f t="shared" si="11"/>
        <v>985597</v>
      </c>
      <c r="J31" s="1288">
        <f t="shared" si="11"/>
        <v>2233482</v>
      </c>
      <c r="K31" s="225" t="s">
        <v>287</v>
      </c>
      <c r="L31" s="232">
        <f>tartalék!C19</f>
        <v>265118</v>
      </c>
      <c r="M31" s="232">
        <f>tartalék!D19</f>
        <v>0</v>
      </c>
      <c r="N31" s="232">
        <f>tartalék!E19</f>
        <v>265118</v>
      </c>
      <c r="O31" s="1259"/>
      <c r="P31" s="1259"/>
      <c r="Q31" s="1259"/>
      <c r="R31" s="232">
        <v>78774</v>
      </c>
      <c r="S31" s="290"/>
      <c r="T31" s="232">
        <f t="shared" si="8"/>
        <v>343892</v>
      </c>
      <c r="U31" s="232">
        <f t="shared" si="9"/>
        <v>0</v>
      </c>
      <c r="V31" s="232">
        <f t="shared" si="10"/>
        <v>343892</v>
      </c>
    </row>
    <row r="32" spans="1:22" x14ac:dyDescent="0.2">
      <c r="A32" s="624">
        <f t="shared" si="0"/>
        <v>24</v>
      </c>
      <c r="B32" s="142" t="s">
        <v>67</v>
      </c>
      <c r="C32" s="288">
        <f>C14+C22+C23+C24+C25+C26+C29</f>
        <v>0</v>
      </c>
      <c r="D32" s="288">
        <f>D14+D22+D23+D24+D25+D26+D29</f>
        <v>2870</v>
      </c>
      <c r="E32" s="288">
        <f>E14+E22+E23+E24+E25+E26+E29</f>
        <v>2870</v>
      </c>
      <c r="F32" s="288">
        <f>F14+F22+F23+F24+F25+F26+F29</f>
        <v>0</v>
      </c>
      <c r="G32" s="288">
        <f t="shared" ref="G32:J32" si="12">G14+G22+G23+G24+G25+G26+G29</f>
        <v>99993</v>
      </c>
      <c r="H32" s="288">
        <f t="shared" si="12"/>
        <v>0</v>
      </c>
      <c r="I32" s="288">
        <f t="shared" si="12"/>
        <v>102863</v>
      </c>
      <c r="J32" s="392">
        <f t="shared" si="12"/>
        <v>102863</v>
      </c>
      <c r="K32" s="1281" t="s">
        <v>68</v>
      </c>
      <c r="L32" s="289">
        <f>SUM(L26:L31)</f>
        <v>2316625</v>
      </c>
      <c r="M32" s="289">
        <f>SUM(M26:M31)</f>
        <v>75891</v>
      </c>
      <c r="N32" s="289">
        <f>SUM(N26:N31)</f>
        <v>2392516</v>
      </c>
      <c r="O32" s="1259"/>
      <c r="P32" s="1259"/>
      <c r="Q32" s="1259"/>
      <c r="R32" s="289">
        <f>SUM(R26:R31)</f>
        <v>63978</v>
      </c>
      <c r="S32" s="289">
        <f>SUM(S26:S31)</f>
        <v>102697</v>
      </c>
      <c r="T32" s="289">
        <f>SUM(T26:T31)</f>
        <v>2380603</v>
      </c>
      <c r="U32" s="289">
        <f>SUM(U26:U31)</f>
        <v>178588</v>
      </c>
      <c r="V32" s="289">
        <f t="shared" si="10"/>
        <v>2559191</v>
      </c>
    </row>
    <row r="33" spans="1:22" x14ac:dyDescent="0.2">
      <c r="A33" s="624">
        <f t="shared" si="0"/>
        <v>25</v>
      </c>
      <c r="B33" s="145" t="s">
        <v>51</v>
      </c>
      <c r="C33" s="290">
        <f>SUM(C31:C32)</f>
        <v>1317757</v>
      </c>
      <c r="D33" s="290">
        <f>SUM(D31:D32)</f>
        <v>835472</v>
      </c>
      <c r="E33" s="290">
        <f>SUM(C33:D33)</f>
        <v>2153229</v>
      </c>
      <c r="F33" s="290">
        <f>SUM(F31:F32)</f>
        <v>-69872</v>
      </c>
      <c r="G33" s="290">
        <f t="shared" ref="G33:J33" si="13">SUM(G31:G32)</f>
        <v>252988</v>
      </c>
      <c r="H33" s="290">
        <f t="shared" si="13"/>
        <v>1247885</v>
      </c>
      <c r="I33" s="290">
        <f t="shared" si="13"/>
        <v>1088460</v>
      </c>
      <c r="J33" s="374">
        <f t="shared" si="13"/>
        <v>2336345</v>
      </c>
      <c r="K33" s="290" t="s">
        <v>69</v>
      </c>
      <c r="L33" s="290">
        <f t="shared" ref="L33:Q33" si="14">L23+L32</f>
        <v>2955188</v>
      </c>
      <c r="M33" s="290">
        <f t="shared" si="14"/>
        <v>463561.32</v>
      </c>
      <c r="N33" s="290">
        <f t="shared" si="14"/>
        <v>3418749.3200000003</v>
      </c>
      <c r="O33" s="140">
        <f t="shared" si="14"/>
        <v>0</v>
      </c>
      <c r="P33" s="140">
        <f t="shared" si="14"/>
        <v>0</v>
      </c>
      <c r="Q33" s="140">
        <f t="shared" si="14"/>
        <v>0</v>
      </c>
      <c r="R33" s="290">
        <f>R23+R32</f>
        <v>-85653</v>
      </c>
      <c r="S33" s="290">
        <f t="shared" ref="S33:V33" si="15">S23+S32</f>
        <v>252988</v>
      </c>
      <c r="T33" s="290">
        <f t="shared" si="15"/>
        <v>2869535</v>
      </c>
      <c r="U33" s="290">
        <f t="shared" si="15"/>
        <v>716549.32000000007</v>
      </c>
      <c r="V33" s="290">
        <f t="shared" si="15"/>
        <v>3586084.3200000003</v>
      </c>
    </row>
    <row r="34" spans="1:22" x14ac:dyDescent="0.2">
      <c r="A34" s="624">
        <f t="shared" si="0"/>
        <v>26</v>
      </c>
      <c r="B34" s="147"/>
      <c r="C34" s="232"/>
      <c r="D34" s="232"/>
      <c r="E34" s="232"/>
      <c r="F34" s="232"/>
      <c r="G34" s="232"/>
      <c r="H34" s="232"/>
      <c r="I34" s="232"/>
      <c r="J34" s="391"/>
      <c r="K34" s="232"/>
      <c r="L34" s="232"/>
      <c r="M34" s="232"/>
      <c r="N34" s="232"/>
      <c r="O34" s="231"/>
      <c r="P34" s="231"/>
      <c r="Q34" s="231"/>
      <c r="R34" s="232"/>
      <c r="S34" s="232"/>
      <c r="T34" s="231"/>
      <c r="U34" s="231"/>
      <c r="V34" s="231"/>
    </row>
    <row r="35" spans="1:22" x14ac:dyDescent="0.2">
      <c r="A35" s="624">
        <f t="shared" si="0"/>
        <v>27</v>
      </c>
      <c r="B35" s="145" t="s">
        <v>23</v>
      </c>
      <c r="C35" s="290">
        <f>C33-L33</f>
        <v>-1637431</v>
      </c>
      <c r="D35" s="290">
        <f>D33-M33</f>
        <v>371910.68</v>
      </c>
      <c r="E35" s="290">
        <f>E33-N33</f>
        <v>-1265520.3200000003</v>
      </c>
      <c r="F35" s="290">
        <f t="shared" ref="F35:G35" si="16">F33-R33</f>
        <v>15781</v>
      </c>
      <c r="G35" s="290">
        <f t="shared" si="16"/>
        <v>0</v>
      </c>
      <c r="H35" s="290">
        <f>H33-T33</f>
        <v>-1621650</v>
      </c>
      <c r="I35" s="290">
        <f t="shared" ref="I35:J35" si="17">I33-U33</f>
        <v>371910.67999999993</v>
      </c>
      <c r="J35" s="290">
        <f t="shared" si="17"/>
        <v>-1249739.3200000003</v>
      </c>
      <c r="K35" s="288"/>
      <c r="L35" s="288"/>
      <c r="M35" s="288"/>
      <c r="N35" s="288"/>
      <c r="O35" s="231"/>
      <c r="P35" s="231"/>
      <c r="Q35" s="231"/>
      <c r="R35" s="232"/>
      <c r="S35" s="232"/>
      <c r="T35" s="231"/>
      <c r="U35" s="231"/>
      <c r="V35" s="231"/>
    </row>
    <row r="36" spans="1:22" s="9" customFormat="1" x14ac:dyDescent="0.2">
      <c r="A36" s="624">
        <f t="shared" si="0"/>
        <v>28</v>
      </c>
      <c r="B36" s="147"/>
      <c r="C36" s="232"/>
      <c r="D36" s="232"/>
      <c r="E36" s="232"/>
      <c r="F36" s="232"/>
      <c r="G36" s="232"/>
      <c r="H36" s="232"/>
      <c r="I36" s="232"/>
      <c r="J36" s="391"/>
      <c r="K36" s="232"/>
      <c r="L36" s="232"/>
      <c r="M36" s="232"/>
      <c r="N36" s="232"/>
      <c r="O36" s="1259"/>
      <c r="P36" s="1259"/>
      <c r="Q36" s="1259"/>
      <c r="R36" s="290"/>
      <c r="S36" s="290"/>
      <c r="T36" s="1259"/>
      <c r="U36" s="1259"/>
      <c r="V36" s="1259"/>
    </row>
    <row r="37" spans="1:22" s="9" customFormat="1" x14ac:dyDescent="0.2">
      <c r="A37" s="624">
        <f t="shared" si="0"/>
        <v>29</v>
      </c>
      <c r="B37" s="103" t="s">
        <v>53</v>
      </c>
      <c r="C37" s="1279"/>
      <c r="D37" s="1279"/>
      <c r="E37" s="1279"/>
      <c r="F37" s="1279"/>
      <c r="G37" s="1279"/>
      <c r="H37" s="1279"/>
      <c r="I37" s="1279"/>
      <c r="J37" s="422"/>
      <c r="K37" s="1279" t="s">
        <v>33</v>
      </c>
      <c r="L37" s="290"/>
      <c r="M37" s="290"/>
      <c r="N37" s="290"/>
      <c r="O37" s="1259"/>
      <c r="P37" s="1259"/>
      <c r="Q37" s="1259"/>
      <c r="R37" s="290"/>
      <c r="S37" s="290"/>
      <c r="T37" s="1259"/>
      <c r="U37" s="1259"/>
      <c r="V37" s="1259"/>
    </row>
    <row r="38" spans="1:22" s="9" customFormat="1" x14ac:dyDescent="0.2">
      <c r="A38" s="624">
        <f t="shared" si="0"/>
        <v>30</v>
      </c>
      <c r="B38" s="1260" t="s">
        <v>726</v>
      </c>
      <c r="C38" s="1279"/>
      <c r="D38" s="1279"/>
      <c r="E38" s="1279"/>
      <c r="F38" s="1279"/>
      <c r="G38" s="1279"/>
      <c r="H38" s="1279"/>
      <c r="I38" s="1279"/>
      <c r="J38" s="422"/>
      <c r="K38" s="1282" t="s">
        <v>4</v>
      </c>
      <c r="L38" s="290"/>
      <c r="M38" s="1259"/>
      <c r="N38" s="1259"/>
      <c r="O38" s="1259"/>
      <c r="P38" s="1259"/>
      <c r="Q38" s="1259"/>
      <c r="R38" s="290"/>
      <c r="S38" s="290"/>
      <c r="T38" s="1259"/>
      <c r="U38" s="1259"/>
      <c r="V38" s="1259"/>
    </row>
    <row r="39" spans="1:22" s="9" customFormat="1" ht="22.5" customHeight="1" x14ac:dyDescent="0.2">
      <c r="A39" s="1283">
        <f t="shared" si="0"/>
        <v>31</v>
      </c>
      <c r="B39" s="1284" t="s">
        <v>1078</v>
      </c>
      <c r="C39" s="225">
        <v>1243160</v>
      </c>
      <c r="D39" s="1279"/>
      <c r="E39" s="1282">
        <f>SUM(C39:D39)</f>
        <v>1243160</v>
      </c>
      <c r="F39" s="1282"/>
      <c r="G39" s="1282"/>
      <c r="H39" s="1282">
        <f>C39+F39</f>
        <v>1243160</v>
      </c>
      <c r="I39" s="1282">
        <f>D39+G39</f>
        <v>0</v>
      </c>
      <c r="J39" s="1289">
        <f>H39+I39</f>
        <v>1243160</v>
      </c>
      <c r="K39" s="76" t="s">
        <v>3</v>
      </c>
      <c r="L39" s="290"/>
      <c r="M39" s="290"/>
      <c r="N39" s="290"/>
      <c r="O39" s="1259"/>
      <c r="P39" s="1259"/>
      <c r="Q39" s="1259"/>
      <c r="R39" s="290"/>
      <c r="S39" s="290"/>
      <c r="T39" s="1259"/>
      <c r="U39" s="1259"/>
      <c r="V39" s="1259"/>
    </row>
    <row r="40" spans="1:22" x14ac:dyDescent="0.2">
      <c r="A40" s="624">
        <f t="shared" si="0"/>
        <v>32</v>
      </c>
      <c r="B40" s="97" t="s">
        <v>728</v>
      </c>
      <c r="C40" s="1285"/>
      <c r="D40" s="1282"/>
      <c r="E40" s="1282">
        <f>SUM(C40:D40)</f>
        <v>0</v>
      </c>
      <c r="F40" s="1282"/>
      <c r="G40" s="1282"/>
      <c r="H40" s="1282"/>
      <c r="I40" s="1282"/>
      <c r="J40" s="1289"/>
      <c r="K40" s="225" t="s">
        <v>5</v>
      </c>
      <c r="L40" s="290"/>
      <c r="M40" s="290"/>
      <c r="N40" s="290"/>
      <c r="O40" s="231"/>
      <c r="P40" s="231"/>
      <c r="Q40" s="231"/>
      <c r="R40" s="232"/>
      <c r="S40" s="232"/>
      <c r="T40" s="231"/>
      <c r="U40" s="231"/>
      <c r="V40" s="231"/>
    </row>
    <row r="41" spans="1:22" x14ac:dyDescent="0.2">
      <c r="A41" s="624">
        <f t="shared" si="0"/>
        <v>33</v>
      </c>
      <c r="B41" s="97" t="s">
        <v>223</v>
      </c>
      <c r="C41" s="225"/>
      <c r="D41" s="225"/>
      <c r="E41" s="225"/>
      <c r="F41" s="225"/>
      <c r="G41" s="225"/>
      <c r="H41" s="1282"/>
      <c r="I41" s="1282"/>
      <c r="J41" s="1289"/>
      <c r="K41" s="225" t="s">
        <v>6</v>
      </c>
      <c r="L41" s="290"/>
      <c r="M41" s="290"/>
      <c r="N41" s="290"/>
      <c r="O41" s="231"/>
      <c r="P41" s="231"/>
      <c r="Q41" s="231"/>
      <c r="R41" s="232"/>
      <c r="S41" s="232"/>
      <c r="T41" s="231"/>
      <c r="U41" s="231"/>
      <c r="V41" s="231"/>
    </row>
    <row r="42" spans="1:22" x14ac:dyDescent="0.2">
      <c r="A42" s="624">
        <f t="shared" si="0"/>
        <v>34</v>
      </c>
      <c r="B42" s="1261" t="s">
        <v>224</v>
      </c>
      <c r="C42" s="225">
        <v>1193985</v>
      </c>
      <c r="D42" s="225">
        <v>160130</v>
      </c>
      <c r="E42" s="225">
        <f>C42+D42</f>
        <v>1354115</v>
      </c>
      <c r="F42" s="225"/>
      <c r="G42" s="225"/>
      <c r="H42" s="1282">
        <f t="shared" ref="H42:H52" si="18">C42+F42</f>
        <v>1193985</v>
      </c>
      <c r="I42" s="1282">
        <f t="shared" ref="I42:I52" si="19">D42+G42</f>
        <v>160130</v>
      </c>
      <c r="J42" s="1289">
        <f t="shared" ref="J42:J52" si="20">H42+I42</f>
        <v>1354115</v>
      </c>
      <c r="K42" s="225" t="s">
        <v>7</v>
      </c>
      <c r="L42" s="290"/>
      <c r="M42" s="290"/>
      <c r="N42" s="290"/>
      <c r="O42" s="231"/>
      <c r="P42" s="231"/>
      <c r="Q42" s="231"/>
      <c r="R42" s="232"/>
      <c r="S42" s="232"/>
      <c r="T42" s="231"/>
      <c r="U42" s="231"/>
      <c r="V42" s="231"/>
    </row>
    <row r="43" spans="1:22" x14ac:dyDescent="0.2">
      <c r="A43" s="624">
        <f t="shared" si="0"/>
        <v>35</v>
      </c>
      <c r="B43" s="1261" t="s">
        <v>1014</v>
      </c>
      <c r="C43" s="225"/>
      <c r="D43" s="225"/>
      <c r="E43" s="225"/>
      <c r="F43" s="225"/>
      <c r="G43" s="225"/>
      <c r="H43" s="1282"/>
      <c r="I43" s="1282"/>
      <c r="J43" s="1289"/>
      <c r="K43" s="225"/>
      <c r="L43" s="290"/>
      <c r="M43" s="290"/>
      <c r="N43" s="290"/>
      <c r="O43" s="231"/>
      <c r="P43" s="231"/>
      <c r="Q43" s="231"/>
      <c r="R43" s="232"/>
      <c r="S43" s="232"/>
      <c r="T43" s="231"/>
      <c r="U43" s="231"/>
      <c r="V43" s="231"/>
    </row>
    <row r="44" spans="1:22" x14ac:dyDescent="0.2">
      <c r="A44" s="624">
        <f t="shared" si="0"/>
        <v>36</v>
      </c>
      <c r="B44" s="97" t="s">
        <v>729</v>
      </c>
      <c r="C44" s="225"/>
      <c r="D44" s="225"/>
      <c r="E44" s="225"/>
      <c r="F44" s="225"/>
      <c r="G44" s="225"/>
      <c r="H44" s="1282"/>
      <c r="I44" s="1282"/>
      <c r="J44" s="1289"/>
      <c r="K44" s="225" t="s">
        <v>8</v>
      </c>
      <c r="L44" s="290"/>
      <c r="M44" s="290"/>
      <c r="N44" s="232"/>
      <c r="O44" s="231"/>
      <c r="P44" s="231"/>
      <c r="Q44" s="231"/>
      <c r="R44" s="232"/>
      <c r="S44" s="232"/>
      <c r="T44" s="231"/>
      <c r="U44" s="231"/>
      <c r="V44" s="231"/>
    </row>
    <row r="45" spans="1:22" x14ac:dyDescent="0.2">
      <c r="A45" s="624">
        <f t="shared" si="0"/>
        <v>37</v>
      </c>
      <c r="B45" s="97" t="s">
        <v>730</v>
      </c>
      <c r="C45" s="1279"/>
      <c r="D45" s="1279"/>
      <c r="E45" s="1279"/>
      <c r="F45" s="1279"/>
      <c r="G45" s="1279"/>
      <c r="H45" s="1282"/>
      <c r="I45" s="1282"/>
      <c r="J45" s="1289"/>
      <c r="K45" s="225" t="s">
        <v>289</v>
      </c>
      <c r="L45" s="232">
        <f>24026+3667</f>
        <v>27693</v>
      </c>
      <c r="M45" s="232">
        <f>3062+689</f>
        <v>3751</v>
      </c>
      <c r="N45" s="232">
        <f>SUM(L45:M45)</f>
        <v>31444</v>
      </c>
      <c r="O45" s="231"/>
      <c r="P45" s="231"/>
      <c r="Q45" s="231"/>
      <c r="R45" s="232"/>
      <c r="S45" s="232"/>
      <c r="T45" s="232">
        <f t="shared" ref="T45" si="21">L45+R45</f>
        <v>27693</v>
      </c>
      <c r="U45" s="232">
        <f t="shared" ref="U45" si="22">M45+S45</f>
        <v>3751</v>
      </c>
      <c r="V45" s="232">
        <f>SUM(T45:U45)</f>
        <v>31444</v>
      </c>
    </row>
    <row r="46" spans="1:22" x14ac:dyDescent="0.2">
      <c r="A46" s="624">
        <f t="shared" si="0"/>
        <v>38</v>
      </c>
      <c r="B46" s="97" t="s">
        <v>731</v>
      </c>
      <c r="C46" s="225"/>
      <c r="D46" s="225"/>
      <c r="E46" s="225"/>
      <c r="F46" s="225"/>
      <c r="G46" s="225"/>
      <c r="H46" s="1282"/>
      <c r="I46" s="1282"/>
      <c r="J46" s="1289"/>
      <c r="K46" s="225" t="s">
        <v>254</v>
      </c>
      <c r="L46" s="232"/>
      <c r="M46" s="232"/>
      <c r="N46" s="232"/>
      <c r="O46" s="231"/>
      <c r="P46" s="231"/>
      <c r="Q46" s="231"/>
      <c r="R46" s="232"/>
      <c r="S46" s="232"/>
      <c r="T46" s="232"/>
      <c r="U46" s="231"/>
      <c r="V46" s="232">
        <f t="shared" ref="V46:V48" si="23">SUM(T46:U46)</f>
        <v>0</v>
      </c>
    </row>
    <row r="47" spans="1:22" x14ac:dyDescent="0.2">
      <c r="A47" s="624">
        <f t="shared" si="0"/>
        <v>39</v>
      </c>
      <c r="B47" s="97" t="s">
        <v>732</v>
      </c>
      <c r="C47" s="225"/>
      <c r="D47" s="225"/>
      <c r="E47" s="225"/>
      <c r="F47" s="225"/>
      <c r="G47" s="225"/>
      <c r="H47" s="1282"/>
      <c r="I47" s="1282"/>
      <c r="J47" s="1289"/>
      <c r="K47" s="1286" t="s">
        <v>255</v>
      </c>
      <c r="L47" s="232">
        <f>'pü.mérleg Hivatal'!D48+'püm. GAMESZ. '!C48+'püm-TASZII.'!C48+püm.Brunszvik!C48+'püm Festetics'!C48</f>
        <v>749566</v>
      </c>
      <c r="M47" s="232">
        <f>'pü.mérleg Hivatal'!E48+'püm. GAMESZ. '!D48+'püm-TASZII.'!D48+püm.Brunszvik!D48+'püm Festetics'!D48</f>
        <v>518055</v>
      </c>
      <c r="N47" s="232">
        <f>SUM(L47:M47)</f>
        <v>1267621</v>
      </c>
      <c r="O47" s="231"/>
      <c r="P47" s="231"/>
      <c r="Q47" s="231"/>
      <c r="R47" s="232">
        <v>15781</v>
      </c>
      <c r="S47" s="232">
        <v>-3470</v>
      </c>
      <c r="T47" s="232">
        <f>L47+R47</f>
        <v>765347</v>
      </c>
      <c r="U47" s="232">
        <f t="shared" ref="U47:U48" si="24">M47+S47</f>
        <v>514585</v>
      </c>
      <c r="V47" s="232">
        <f t="shared" si="23"/>
        <v>1279932</v>
      </c>
    </row>
    <row r="48" spans="1:22" x14ac:dyDescent="0.2">
      <c r="A48" s="624">
        <f t="shared" si="0"/>
        <v>40</v>
      </c>
      <c r="B48" s="97" t="s">
        <v>0</v>
      </c>
      <c r="C48" s="225"/>
      <c r="D48" s="225"/>
      <c r="E48" s="225"/>
      <c r="F48" s="225"/>
      <c r="G48" s="225"/>
      <c r="H48" s="1282"/>
      <c r="I48" s="1282"/>
      <c r="J48" s="1289"/>
      <c r="K48" s="1286" t="s">
        <v>256</v>
      </c>
      <c r="L48" s="232">
        <f>'pü.mérleg Hivatal'!D49+'püm. GAMESZ. '!C49+'püm-TASZII.'!C49+püm.Brunszvik!C49+'püm Festetics'!C49</f>
        <v>22455</v>
      </c>
      <c r="M48" s="232">
        <f>'pü.mérleg Hivatal'!E49+'püm. GAMESZ. '!D49+püm.Brunszvik!D49+'püm Festetics'!D49+'püm-TASZII.'!D49</f>
        <v>10235</v>
      </c>
      <c r="N48" s="232">
        <f>'pü.mérleg Hivatal'!F49+'püm. GAMESZ. '!E49+'püm-TASZII.'!E49+püm.Brunszvik!E49+'püm Festetics'!E49</f>
        <v>32690</v>
      </c>
      <c r="O48" s="231"/>
      <c r="P48" s="231"/>
      <c r="Q48" s="231"/>
      <c r="R48" s="232"/>
      <c r="S48" s="232">
        <v>3470</v>
      </c>
      <c r="T48" s="232">
        <f t="shared" ref="T48" si="25">L48+R48</f>
        <v>22455</v>
      </c>
      <c r="U48" s="232">
        <f t="shared" si="24"/>
        <v>13705</v>
      </c>
      <c r="V48" s="232">
        <f t="shared" si="23"/>
        <v>36160</v>
      </c>
    </row>
    <row r="49" spans="1:22" x14ac:dyDescent="0.2">
      <c r="A49" s="624">
        <f t="shared" si="0"/>
        <v>41</v>
      </c>
      <c r="B49" s="97" t="s">
        <v>1</v>
      </c>
      <c r="C49" s="225"/>
      <c r="D49" s="225"/>
      <c r="E49" s="225">
        <f>SUM(C49:D49)</f>
        <v>0</v>
      </c>
      <c r="F49" s="225"/>
      <c r="G49" s="225"/>
      <c r="H49" s="1282"/>
      <c r="I49" s="1282"/>
      <c r="J49" s="1289"/>
      <c r="K49" s="225" t="s">
        <v>13</v>
      </c>
      <c r="L49" s="232"/>
      <c r="M49" s="232"/>
      <c r="N49" s="232"/>
      <c r="O49" s="231"/>
      <c r="P49" s="231"/>
      <c r="Q49" s="231"/>
      <c r="R49" s="232"/>
      <c r="S49" s="232"/>
      <c r="T49" s="232"/>
      <c r="U49" s="231"/>
      <c r="V49" s="232"/>
    </row>
    <row r="50" spans="1:22" x14ac:dyDescent="0.2">
      <c r="A50" s="624">
        <f t="shared" si="0"/>
        <v>42</v>
      </c>
      <c r="B50" s="97"/>
      <c r="C50" s="225"/>
      <c r="D50" s="225"/>
      <c r="E50" s="225"/>
      <c r="F50" s="225"/>
      <c r="G50" s="225"/>
      <c r="H50" s="1282"/>
      <c r="I50" s="1282"/>
      <c r="J50" s="1289"/>
      <c r="K50" s="225" t="s">
        <v>14</v>
      </c>
      <c r="L50" s="232"/>
      <c r="M50" s="232"/>
      <c r="N50" s="232"/>
      <c r="O50" s="231"/>
      <c r="P50" s="231"/>
      <c r="Q50" s="231"/>
      <c r="R50" s="232"/>
      <c r="S50" s="232"/>
      <c r="T50" s="232"/>
      <c r="U50" s="231"/>
      <c r="V50" s="232"/>
    </row>
    <row r="51" spans="1:22" x14ac:dyDescent="0.2">
      <c r="A51" s="624">
        <f t="shared" si="0"/>
        <v>43</v>
      </c>
      <c r="B51" s="97"/>
      <c r="C51" s="225"/>
      <c r="D51" s="225"/>
      <c r="E51" s="225"/>
      <c r="F51" s="225"/>
      <c r="G51" s="225"/>
      <c r="H51" s="1282"/>
      <c r="I51" s="1282"/>
      <c r="J51" s="1289"/>
      <c r="K51" s="225" t="s">
        <v>15</v>
      </c>
      <c r="L51" s="232"/>
      <c r="M51" s="232"/>
      <c r="N51" s="232"/>
      <c r="O51" s="231"/>
      <c r="P51" s="231"/>
      <c r="Q51" s="231"/>
      <c r="R51" s="232"/>
      <c r="S51" s="232"/>
      <c r="T51" s="232"/>
      <c r="U51" s="231"/>
      <c r="V51" s="232"/>
    </row>
    <row r="52" spans="1:22" ht="12" thickBot="1" x14ac:dyDescent="0.25">
      <c r="A52" s="624">
        <f t="shared" si="0"/>
        <v>44</v>
      </c>
      <c r="B52" s="145" t="s">
        <v>474</v>
      </c>
      <c r="C52" s="1279">
        <f>SUM(C38:C50)</f>
        <v>2437145</v>
      </c>
      <c r="D52" s="1279">
        <f>SUM(D38:D50)</f>
        <v>160130</v>
      </c>
      <c r="E52" s="1279">
        <f>SUM(E38:E50)</f>
        <v>2597275</v>
      </c>
      <c r="F52" s="1279"/>
      <c r="G52" s="1279"/>
      <c r="H52" s="1285">
        <f t="shared" si="18"/>
        <v>2437145</v>
      </c>
      <c r="I52" s="1285">
        <f t="shared" si="19"/>
        <v>160130</v>
      </c>
      <c r="J52" s="1295">
        <f t="shared" si="20"/>
        <v>2597275</v>
      </c>
      <c r="K52" s="1279" t="s">
        <v>467</v>
      </c>
      <c r="L52" s="290">
        <f t="shared" ref="L52:Q52" si="26">SUM(L38:L51)</f>
        <v>799714</v>
      </c>
      <c r="M52" s="290">
        <f t="shared" si="26"/>
        <v>532041</v>
      </c>
      <c r="N52" s="290">
        <f t="shared" si="26"/>
        <v>1331755</v>
      </c>
      <c r="O52" s="140">
        <f t="shared" si="26"/>
        <v>0</v>
      </c>
      <c r="P52" s="140">
        <f t="shared" si="26"/>
        <v>0</v>
      </c>
      <c r="Q52" s="140">
        <f t="shared" si="26"/>
        <v>0</v>
      </c>
      <c r="R52" s="290">
        <f>SUM(R45:R51)</f>
        <v>15781</v>
      </c>
      <c r="S52" s="290">
        <f>SUM(S45:S51)</f>
        <v>0</v>
      </c>
      <c r="T52" s="290">
        <f>SUM(T45:T51)</f>
        <v>815495</v>
      </c>
      <c r="U52" s="290">
        <f t="shared" ref="U52:V52" si="27">SUM(U45:U51)</f>
        <v>532041</v>
      </c>
      <c r="V52" s="290">
        <f t="shared" si="27"/>
        <v>1347536</v>
      </c>
    </row>
    <row r="53" spans="1:22" ht="12" thickBot="1" x14ac:dyDescent="0.25">
      <c r="A53" s="1061">
        <f t="shared" si="0"/>
        <v>45</v>
      </c>
      <c r="B53" s="1062" t="s">
        <v>469</v>
      </c>
      <c r="C53" s="669">
        <f t="shared" ref="C53:H53" si="28">C33+C52</f>
        <v>3754902</v>
      </c>
      <c r="D53" s="669">
        <f t="shared" si="28"/>
        <v>995602</v>
      </c>
      <c r="E53" s="1063">
        <f t="shared" si="28"/>
        <v>4750504</v>
      </c>
      <c r="F53" s="1063">
        <f t="shared" si="28"/>
        <v>-69872</v>
      </c>
      <c r="G53" s="1063">
        <f t="shared" si="28"/>
        <v>252988</v>
      </c>
      <c r="H53" s="1063">
        <f t="shared" si="28"/>
        <v>3685030</v>
      </c>
      <c r="I53" s="1063">
        <f t="shared" ref="I53:J53" si="29">I33+I52</f>
        <v>1248590</v>
      </c>
      <c r="J53" s="1063">
        <f t="shared" si="29"/>
        <v>4933620</v>
      </c>
      <c r="K53" s="1287" t="s">
        <v>468</v>
      </c>
      <c r="L53" s="669">
        <f t="shared" ref="L53:Q53" si="30">L33+L52</f>
        <v>3754902</v>
      </c>
      <c r="M53" s="669">
        <f t="shared" si="30"/>
        <v>995602.32000000007</v>
      </c>
      <c r="N53" s="1063">
        <f t="shared" si="30"/>
        <v>4750504.32</v>
      </c>
      <c r="O53" s="164">
        <f t="shared" si="30"/>
        <v>0</v>
      </c>
      <c r="P53" s="164">
        <f t="shared" si="30"/>
        <v>0</v>
      </c>
      <c r="Q53" s="1064">
        <f t="shared" si="30"/>
        <v>0</v>
      </c>
      <c r="R53" s="669">
        <f>R33+R52</f>
        <v>-69872</v>
      </c>
      <c r="S53" s="669">
        <f>S33+S52</f>
        <v>252988</v>
      </c>
      <c r="T53" s="669">
        <f t="shared" ref="T53:V53" si="31">T33+T52</f>
        <v>3685030</v>
      </c>
      <c r="U53" s="669">
        <f t="shared" si="31"/>
        <v>1248590.32</v>
      </c>
      <c r="V53" s="669">
        <f t="shared" si="31"/>
        <v>4933620.32</v>
      </c>
    </row>
    <row r="54" spans="1:22" x14ac:dyDescent="0.2">
      <c r="B54" s="150"/>
      <c r="C54" s="149"/>
      <c r="D54" s="149"/>
      <c r="E54" s="149"/>
      <c r="F54" s="149"/>
      <c r="G54" s="149"/>
      <c r="H54" s="149"/>
      <c r="I54" s="149"/>
      <c r="J54" s="149"/>
      <c r="K54" s="140"/>
      <c r="L54" s="149"/>
      <c r="M54" s="149"/>
      <c r="N54" s="149"/>
      <c r="O54" s="8"/>
      <c r="P54" s="8"/>
      <c r="Q54" s="8"/>
    </row>
    <row r="55" spans="1:22" x14ac:dyDescent="0.2">
      <c r="C55" s="136"/>
    </row>
    <row r="59" spans="1:22" ht="6" customHeight="1" x14ac:dyDescent="0.2"/>
    <row r="60" spans="1:22" x14ac:dyDescent="0.2">
      <c r="M60" s="136"/>
    </row>
  </sheetData>
  <sheetProtection selectLockedCells="1" selectUnlockedCells="1"/>
  <mergeCells count="15">
    <mergeCell ref="A3:V3"/>
    <mergeCell ref="A4:V4"/>
    <mergeCell ref="A1:V1"/>
    <mergeCell ref="A5:V5"/>
    <mergeCell ref="L7:N7"/>
    <mergeCell ref="B6:B7"/>
    <mergeCell ref="K6:K7"/>
    <mergeCell ref="C7:E7"/>
    <mergeCell ref="F7:G7"/>
    <mergeCell ref="H7:J7"/>
    <mergeCell ref="R7:S7"/>
    <mergeCell ref="T7:V7"/>
    <mergeCell ref="C6:J6"/>
    <mergeCell ref="L6:V6"/>
    <mergeCell ref="A6:A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T55"/>
  <sheetViews>
    <sheetView zoomScale="120" workbookViewId="0">
      <selection activeCell="R17" sqref="R17:T17"/>
    </sheetView>
  </sheetViews>
  <sheetFormatPr defaultColWidth="9.140625" defaultRowHeight="11.25" x14ac:dyDescent="0.2"/>
  <cols>
    <col min="1" max="1" width="9.140625" style="8"/>
    <col min="2" max="2" width="3.7109375" style="127" customWidth="1"/>
    <col min="3" max="3" width="36.140625" style="127" customWidth="1"/>
    <col min="4" max="5" width="10.28515625" style="128" customWidth="1"/>
    <col min="6" max="11" width="9" style="128" customWidth="1"/>
    <col min="12" max="12" width="36.140625" style="128" customWidth="1"/>
    <col min="13" max="13" width="7.85546875" style="128" customWidth="1"/>
    <col min="14" max="14" width="10.140625" style="128" customWidth="1"/>
    <col min="15" max="15" width="10" style="128" customWidth="1"/>
    <col min="16" max="18" width="9.140625" style="8"/>
    <col min="19" max="19" width="9.28515625" style="8" customWidth="1"/>
    <col min="20" max="16384" width="9.140625" style="8"/>
  </cols>
  <sheetData>
    <row r="1" spans="2:20" ht="12.75" customHeight="1" x14ac:dyDescent="0.2">
      <c r="D1" s="1301" t="s">
        <v>1261</v>
      </c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1301"/>
      <c r="P1" s="1301"/>
      <c r="Q1" s="1301"/>
      <c r="R1" s="1301"/>
      <c r="S1" s="1301"/>
      <c r="T1" s="1301"/>
    </row>
    <row r="2" spans="2:20" x14ac:dyDescent="0.2">
      <c r="L2" s="129"/>
      <c r="M2" s="129"/>
      <c r="N2" s="129"/>
      <c r="O2" s="129"/>
    </row>
    <row r="3" spans="2:20" x14ac:dyDescent="0.2">
      <c r="L3" s="129"/>
      <c r="M3" s="129"/>
      <c r="N3" s="129"/>
      <c r="O3" s="129"/>
    </row>
    <row r="4" spans="2:20" s="100" customFormat="1" ht="12.75" customHeight="1" x14ac:dyDescent="0.2">
      <c r="B4" s="1308" t="s">
        <v>78</v>
      </c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8"/>
      <c r="P4" s="1308"/>
      <c r="Q4" s="1308"/>
      <c r="R4" s="1308"/>
      <c r="S4" s="1308"/>
      <c r="T4" s="1308"/>
    </row>
    <row r="5" spans="2:20" s="100" customFormat="1" ht="12.75" customHeight="1" x14ac:dyDescent="0.2">
      <c r="B5" s="1406" t="s">
        <v>195</v>
      </c>
      <c r="C5" s="1406"/>
      <c r="D5" s="1406"/>
      <c r="E5" s="1406"/>
      <c r="F5" s="1406"/>
      <c r="G5" s="1406"/>
      <c r="H5" s="1406"/>
      <c r="I5" s="1406"/>
      <c r="J5" s="1406"/>
      <c r="K5" s="1406"/>
      <c r="L5" s="1406"/>
      <c r="M5" s="1406"/>
      <c r="N5" s="1406"/>
      <c r="O5" s="1406"/>
      <c r="P5" s="1406"/>
      <c r="Q5" s="1406"/>
      <c r="R5" s="1406"/>
      <c r="S5" s="1406"/>
      <c r="T5" s="1406"/>
    </row>
    <row r="6" spans="2:20" s="100" customFormat="1" ht="12.75" customHeight="1" x14ac:dyDescent="0.2">
      <c r="B6" s="1308" t="s">
        <v>1131</v>
      </c>
      <c r="C6" s="1308"/>
      <c r="D6" s="1308"/>
      <c r="E6" s="1308"/>
      <c r="F6" s="1308"/>
      <c r="G6" s="1308"/>
      <c r="H6" s="1308"/>
      <c r="I6" s="1308"/>
      <c r="J6" s="1308"/>
      <c r="K6" s="1308"/>
      <c r="L6" s="1308"/>
      <c r="M6" s="1308"/>
      <c r="N6" s="1308"/>
      <c r="O6" s="1308"/>
      <c r="P6" s="1308"/>
      <c r="Q6" s="1308"/>
      <c r="R6" s="1308"/>
      <c r="S6" s="1308"/>
      <c r="T6" s="1308"/>
    </row>
    <row r="7" spans="2:20" s="100" customFormat="1" ht="12.75" customHeight="1" x14ac:dyDescent="0.2">
      <c r="B7" s="1302" t="s">
        <v>321</v>
      </c>
      <c r="C7" s="1302"/>
      <c r="D7" s="1302"/>
      <c r="E7" s="1302"/>
      <c r="F7" s="1302"/>
      <c r="G7" s="1302"/>
      <c r="H7" s="1302"/>
      <c r="I7" s="1302"/>
      <c r="J7" s="1302"/>
      <c r="K7" s="1302"/>
      <c r="L7" s="1302"/>
      <c r="M7" s="1302"/>
      <c r="N7" s="1302"/>
      <c r="O7" s="1302"/>
      <c r="P7" s="1302"/>
      <c r="Q7" s="1302"/>
      <c r="R7" s="1302"/>
      <c r="S7" s="1302"/>
      <c r="T7" s="1302"/>
    </row>
    <row r="8" spans="2:20" s="100" customFormat="1" ht="12.75" customHeight="1" x14ac:dyDescent="0.2">
      <c r="B8" s="1305" t="s">
        <v>56</v>
      </c>
      <c r="C8" s="1306" t="s">
        <v>57</v>
      </c>
      <c r="D8" s="1306" t="s">
        <v>58</v>
      </c>
      <c r="E8" s="1306"/>
      <c r="F8" s="1306"/>
      <c r="G8" s="1306"/>
      <c r="H8" s="1306"/>
      <c r="I8" s="1306"/>
      <c r="J8" s="1306"/>
      <c r="K8" s="1306"/>
      <c r="L8" s="1307" t="s">
        <v>59</v>
      </c>
      <c r="M8" s="1403" t="s">
        <v>60</v>
      </c>
      <c r="N8" s="1404"/>
      <c r="O8" s="1404"/>
      <c r="P8" s="1404"/>
      <c r="Q8" s="1404"/>
      <c r="R8" s="1404"/>
      <c r="S8" s="1404"/>
      <c r="T8" s="1405"/>
    </row>
    <row r="9" spans="2:20" s="100" customFormat="1" ht="12.75" customHeight="1" x14ac:dyDescent="0.2">
      <c r="B9" s="1305"/>
      <c r="C9" s="1306"/>
      <c r="D9" s="1303" t="s">
        <v>1125</v>
      </c>
      <c r="E9" s="1303"/>
      <c r="F9" s="1303"/>
      <c r="G9" s="1303" t="s">
        <v>1267</v>
      </c>
      <c r="H9" s="1303"/>
      <c r="I9" s="1303" t="s">
        <v>1266</v>
      </c>
      <c r="J9" s="1303"/>
      <c r="K9" s="1303"/>
      <c r="L9" s="1307"/>
      <c r="M9" s="1303" t="s">
        <v>1125</v>
      </c>
      <c r="N9" s="1303"/>
      <c r="O9" s="1303"/>
      <c r="P9" s="1303" t="s">
        <v>1267</v>
      </c>
      <c r="Q9" s="1303"/>
      <c r="R9" s="1303" t="s">
        <v>1266</v>
      </c>
      <c r="S9" s="1303"/>
      <c r="T9" s="1303"/>
    </row>
    <row r="10" spans="2:20" s="101" customFormat="1" ht="36.6" customHeight="1" x14ac:dyDescent="0.2">
      <c r="B10" s="1305"/>
      <c r="C10" s="1164" t="s">
        <v>61</v>
      </c>
      <c r="D10" s="753" t="s">
        <v>62</v>
      </c>
      <c r="E10" s="753" t="s">
        <v>63</v>
      </c>
      <c r="F10" s="753" t="s">
        <v>64</v>
      </c>
      <c r="G10" s="753" t="s">
        <v>62</v>
      </c>
      <c r="H10" s="753" t="s">
        <v>63</v>
      </c>
      <c r="I10" s="753" t="s">
        <v>62</v>
      </c>
      <c r="J10" s="753" t="s">
        <v>63</v>
      </c>
      <c r="K10" s="753" t="s">
        <v>64</v>
      </c>
      <c r="L10" s="1163" t="s">
        <v>65</v>
      </c>
      <c r="M10" s="753" t="s">
        <v>62</v>
      </c>
      <c r="N10" s="753" t="s">
        <v>63</v>
      </c>
      <c r="O10" s="753" t="s">
        <v>64</v>
      </c>
      <c r="P10" s="753" t="s">
        <v>62</v>
      </c>
      <c r="Q10" s="753" t="s">
        <v>63</v>
      </c>
      <c r="R10" s="753" t="s">
        <v>62</v>
      </c>
      <c r="S10" s="753" t="s">
        <v>63</v>
      </c>
      <c r="T10" s="753" t="s">
        <v>64</v>
      </c>
    </row>
    <row r="11" spans="2:20" ht="11.45" customHeight="1" x14ac:dyDescent="0.2">
      <c r="B11" s="624">
        <v>1</v>
      </c>
      <c r="C11" s="1252" t="s">
        <v>24</v>
      </c>
      <c r="D11" s="140"/>
      <c r="E11" s="140"/>
      <c r="F11" s="140"/>
      <c r="G11" s="140"/>
      <c r="H11" s="140"/>
      <c r="I11" s="140"/>
      <c r="J11" s="140"/>
      <c r="K11" s="1262"/>
      <c r="L11" s="103" t="s">
        <v>25</v>
      </c>
      <c r="M11" s="140"/>
      <c r="N11" s="140"/>
      <c r="O11" s="136"/>
      <c r="P11" s="231"/>
      <c r="Q11" s="231"/>
      <c r="R11" s="231"/>
      <c r="S11" s="231"/>
      <c r="T11" s="231"/>
    </row>
    <row r="12" spans="2:20" x14ac:dyDescent="0.2">
      <c r="B12" s="624">
        <f t="shared" ref="B12:B54" si="0">B11+1</f>
        <v>2</v>
      </c>
      <c r="C12" s="134" t="s">
        <v>35</v>
      </c>
      <c r="D12" s="97"/>
      <c r="E12" s="97"/>
      <c r="F12" s="97">
        <f>SUM(D12:E12)</f>
        <v>0</v>
      </c>
      <c r="G12" s="97"/>
      <c r="H12" s="97"/>
      <c r="I12" s="97"/>
      <c r="J12" s="97"/>
      <c r="K12" s="375"/>
      <c r="L12" s="97" t="s">
        <v>231</v>
      </c>
      <c r="M12" s="97">
        <v>100027</v>
      </c>
      <c r="N12" s="97">
        <v>66083</v>
      </c>
      <c r="O12" s="135">
        <f>SUM(M12:N12)</f>
        <v>166110</v>
      </c>
      <c r="P12" s="232">
        <v>1633</v>
      </c>
      <c r="Q12" s="232"/>
      <c r="R12" s="232">
        <f>M12+P12</f>
        <v>101660</v>
      </c>
      <c r="S12" s="232">
        <f>N12+Q12</f>
        <v>66083</v>
      </c>
      <c r="T12" s="232">
        <f>SUM(R12:S12)</f>
        <v>167743</v>
      </c>
    </row>
    <row r="13" spans="2:20" x14ac:dyDescent="0.2">
      <c r="B13" s="624">
        <f t="shared" si="0"/>
        <v>3</v>
      </c>
      <c r="C13" s="134" t="s">
        <v>36</v>
      </c>
      <c r="D13" s="97"/>
      <c r="E13" s="97"/>
      <c r="F13" s="97">
        <f>SUM(D13:E13)</f>
        <v>0</v>
      </c>
      <c r="G13" s="97"/>
      <c r="H13" s="97"/>
      <c r="I13" s="97"/>
      <c r="J13" s="97"/>
      <c r="K13" s="375"/>
      <c r="L13" s="1261" t="s">
        <v>232</v>
      </c>
      <c r="M13" s="97">
        <v>28067</v>
      </c>
      <c r="N13" s="97">
        <v>15757</v>
      </c>
      <c r="O13" s="135">
        <f>SUM(M13:N13)</f>
        <v>43824</v>
      </c>
      <c r="P13" s="232">
        <v>356</v>
      </c>
      <c r="Q13" s="232"/>
      <c r="R13" s="232">
        <f t="shared" ref="R13:R24" si="1">M13+P13</f>
        <v>28423</v>
      </c>
      <c r="S13" s="232">
        <f t="shared" ref="S13:S24" si="2">N13+Q13</f>
        <v>15757</v>
      </c>
      <c r="T13" s="232">
        <f t="shared" ref="T13:T24" si="3">SUM(R13:S13)</f>
        <v>44180</v>
      </c>
    </row>
    <row r="14" spans="2:20" x14ac:dyDescent="0.2">
      <c r="B14" s="624">
        <f t="shared" si="0"/>
        <v>4</v>
      </c>
      <c r="C14" s="134" t="s">
        <v>37</v>
      </c>
      <c r="D14" s="97"/>
      <c r="E14" s="97"/>
      <c r="F14" s="97">
        <f>SUM(D14:E14)</f>
        <v>0</v>
      </c>
      <c r="G14" s="97">
        <v>1358</v>
      </c>
      <c r="H14" s="97"/>
      <c r="I14" s="97">
        <f>D14+G14</f>
        <v>1358</v>
      </c>
      <c r="J14" s="97">
        <f>E14+H14</f>
        <v>0</v>
      </c>
      <c r="K14" s="375">
        <f>I14+J14</f>
        <v>1358</v>
      </c>
      <c r="L14" s="97" t="s">
        <v>233</v>
      </c>
      <c r="M14" s="97">
        <f>5780+431</f>
        <v>6211</v>
      </c>
      <c r="N14" s="97">
        <v>59962</v>
      </c>
      <c r="O14" s="135">
        <f>SUM(M14:N14)</f>
        <v>66173</v>
      </c>
      <c r="P14" s="232">
        <v>108</v>
      </c>
      <c r="Q14" s="232"/>
      <c r="R14" s="232">
        <f t="shared" si="1"/>
        <v>6319</v>
      </c>
      <c r="S14" s="232">
        <f t="shared" si="2"/>
        <v>59962</v>
      </c>
      <c r="T14" s="232">
        <f t="shared" si="3"/>
        <v>66281</v>
      </c>
    </row>
    <row r="15" spans="2:20" ht="12" customHeight="1" x14ac:dyDescent="0.2">
      <c r="B15" s="624">
        <f t="shared" si="0"/>
        <v>5</v>
      </c>
      <c r="C15" s="104"/>
      <c r="D15" s="97"/>
      <c r="E15" s="97"/>
      <c r="F15" s="97"/>
      <c r="G15" s="97"/>
      <c r="H15" s="97"/>
      <c r="I15" s="97"/>
      <c r="J15" s="97"/>
      <c r="K15" s="375"/>
      <c r="L15" s="97"/>
      <c r="M15" s="97"/>
      <c r="N15" s="97"/>
      <c r="O15" s="135"/>
      <c r="P15" s="232"/>
      <c r="Q15" s="232"/>
      <c r="R15" s="232"/>
      <c r="S15" s="232"/>
      <c r="T15" s="232"/>
    </row>
    <row r="16" spans="2:20" x14ac:dyDescent="0.2">
      <c r="B16" s="624">
        <f t="shared" si="0"/>
        <v>6</v>
      </c>
      <c r="C16" s="134" t="s">
        <v>38</v>
      </c>
      <c r="D16" s="97"/>
      <c r="E16" s="97"/>
      <c r="F16" s="97"/>
      <c r="G16" s="97"/>
      <c r="H16" s="97"/>
      <c r="I16" s="97"/>
      <c r="J16" s="97"/>
      <c r="K16" s="375"/>
      <c r="L16" s="97" t="s">
        <v>28</v>
      </c>
      <c r="M16" s="136">
        <f>'ellátottak hivatal'!E17</f>
        <v>350</v>
      </c>
      <c r="N16" s="136">
        <f>'ellátottak hivatal'!F17</f>
        <v>0</v>
      </c>
      <c r="O16" s="135">
        <f>SUM(M16:N16)</f>
        <v>350</v>
      </c>
      <c r="P16" s="232"/>
      <c r="Q16" s="232"/>
      <c r="R16" s="232">
        <f t="shared" si="1"/>
        <v>350</v>
      </c>
      <c r="S16" s="232">
        <f t="shared" si="2"/>
        <v>0</v>
      </c>
      <c r="T16" s="232">
        <f t="shared" si="3"/>
        <v>350</v>
      </c>
    </row>
    <row r="17" spans="2:20" x14ac:dyDescent="0.2">
      <c r="B17" s="624">
        <f t="shared" si="0"/>
        <v>7</v>
      </c>
      <c r="C17" s="134"/>
      <c r="D17" s="97"/>
      <c r="E17" s="97"/>
      <c r="F17" s="97"/>
      <c r="G17" s="97"/>
      <c r="H17" s="97"/>
      <c r="I17" s="97"/>
      <c r="J17" s="97"/>
      <c r="K17" s="375"/>
      <c r="L17" s="97" t="s">
        <v>30</v>
      </c>
      <c r="M17" s="136"/>
      <c r="N17" s="136"/>
      <c r="O17" s="135"/>
      <c r="P17" s="232"/>
      <c r="Q17" s="232"/>
      <c r="R17" s="232"/>
      <c r="S17" s="232"/>
      <c r="T17" s="232"/>
    </row>
    <row r="18" spans="2:20" x14ac:dyDescent="0.2">
      <c r="B18" s="624">
        <f t="shared" si="0"/>
        <v>8</v>
      </c>
      <c r="C18" s="134" t="s">
        <v>39</v>
      </c>
      <c r="D18" s="97"/>
      <c r="E18" s="97"/>
      <c r="F18" s="97"/>
      <c r="G18" s="97"/>
      <c r="H18" s="97"/>
      <c r="I18" s="97"/>
      <c r="J18" s="97"/>
      <c r="K18" s="375"/>
      <c r="L18" s="97" t="s">
        <v>472</v>
      </c>
      <c r="M18" s="136"/>
      <c r="N18" s="136"/>
      <c r="O18" s="135"/>
      <c r="P18" s="232"/>
      <c r="Q18" s="232"/>
      <c r="R18" s="232"/>
      <c r="S18" s="232"/>
      <c r="T18" s="232"/>
    </row>
    <row r="19" spans="2:20" x14ac:dyDescent="0.2">
      <c r="B19" s="624">
        <f t="shared" si="0"/>
        <v>9</v>
      </c>
      <c r="C19" s="137" t="s">
        <v>40</v>
      </c>
      <c r="D19" s="135"/>
      <c r="E19" s="135"/>
      <c r="F19" s="135"/>
      <c r="G19" s="135"/>
      <c r="H19" s="135"/>
      <c r="I19" s="97"/>
      <c r="J19" s="97"/>
      <c r="K19" s="375"/>
      <c r="L19" s="97" t="s">
        <v>471</v>
      </c>
      <c r="M19" s="136"/>
      <c r="N19" s="136"/>
      <c r="O19" s="136"/>
      <c r="P19" s="232"/>
      <c r="Q19" s="232"/>
      <c r="R19" s="232"/>
      <c r="S19" s="232"/>
      <c r="T19" s="232"/>
    </row>
    <row r="20" spans="2:20" x14ac:dyDescent="0.2">
      <c r="B20" s="624">
        <f t="shared" si="0"/>
        <v>10</v>
      </c>
      <c r="C20" s="134" t="s">
        <v>210</v>
      </c>
      <c r="D20" s="1253">
        <f>'mük. bev.Önkor és Hivatal '!C80</f>
        <v>15</v>
      </c>
      <c r="E20" s="1253">
        <f>'mük. bev.Önkor és Hivatal '!D80</f>
        <v>402</v>
      </c>
      <c r="F20" s="1253">
        <f>SUM(D20:E20)</f>
        <v>417</v>
      </c>
      <c r="G20" s="1253"/>
      <c r="H20" s="1253"/>
      <c r="I20" s="97">
        <f t="shared" ref="I20" si="4">D20+G20</f>
        <v>15</v>
      </c>
      <c r="J20" s="97">
        <f t="shared" ref="J20" si="5">E20+H20</f>
        <v>402</v>
      </c>
      <c r="K20" s="375">
        <f t="shared" ref="K20" si="6">I20+J20</f>
        <v>417</v>
      </c>
      <c r="L20" s="97" t="s">
        <v>238</v>
      </c>
      <c r="M20" s="136"/>
      <c r="N20" s="136"/>
      <c r="O20" s="136"/>
      <c r="P20" s="232"/>
      <c r="Q20" s="232"/>
      <c r="R20" s="232"/>
      <c r="S20" s="232"/>
      <c r="T20" s="232"/>
    </row>
    <row r="21" spans="2:20" x14ac:dyDescent="0.2">
      <c r="B21" s="624">
        <f t="shared" si="0"/>
        <v>11</v>
      </c>
      <c r="C21" s="147"/>
      <c r="D21" s="135"/>
      <c r="E21" s="135"/>
      <c r="F21" s="135"/>
      <c r="G21" s="135"/>
      <c r="H21" s="135"/>
      <c r="I21" s="135"/>
      <c r="J21" s="135"/>
      <c r="K21" s="1263"/>
      <c r="L21" s="97" t="s">
        <v>464</v>
      </c>
      <c r="M21" s="136"/>
      <c r="N21" s="136"/>
      <c r="O21" s="136"/>
      <c r="P21" s="232"/>
      <c r="Q21" s="232"/>
      <c r="R21" s="232"/>
      <c r="S21" s="232"/>
      <c r="T21" s="232"/>
    </row>
    <row r="22" spans="2:20" s="102" customFormat="1" x14ac:dyDescent="0.2">
      <c r="B22" s="624">
        <f t="shared" si="0"/>
        <v>12</v>
      </c>
      <c r="C22" s="147" t="s">
        <v>42</v>
      </c>
      <c r="D22" s="135"/>
      <c r="E22" s="135"/>
      <c r="F22" s="135"/>
      <c r="G22" s="135"/>
      <c r="H22" s="135"/>
      <c r="I22" s="135"/>
      <c r="J22" s="135"/>
      <c r="K22" s="1263"/>
      <c r="L22" s="97" t="s">
        <v>465</v>
      </c>
      <c r="M22" s="136"/>
      <c r="N22" s="136"/>
      <c r="O22" s="136"/>
      <c r="P22" s="289"/>
      <c r="Q22" s="289"/>
      <c r="R22" s="232"/>
      <c r="S22" s="232"/>
      <c r="T22" s="232"/>
    </row>
    <row r="23" spans="2:20" s="102" customFormat="1" x14ac:dyDescent="0.2">
      <c r="B23" s="624">
        <f t="shared" si="0"/>
        <v>13</v>
      </c>
      <c r="C23" s="147" t="s">
        <v>43</v>
      </c>
      <c r="D23" s="135"/>
      <c r="E23" s="135"/>
      <c r="F23" s="135"/>
      <c r="G23" s="135"/>
      <c r="H23" s="135"/>
      <c r="I23" s="135"/>
      <c r="J23" s="135"/>
      <c r="K23" s="1263"/>
      <c r="L23" s="136"/>
      <c r="M23" s="136"/>
      <c r="N23" s="136"/>
      <c r="O23" s="136"/>
      <c r="P23" s="289"/>
      <c r="Q23" s="289"/>
      <c r="R23" s="232"/>
      <c r="S23" s="232"/>
      <c r="T23" s="232"/>
    </row>
    <row r="24" spans="2:20" x14ac:dyDescent="0.2">
      <c r="B24" s="624">
        <f t="shared" si="0"/>
        <v>14</v>
      </c>
      <c r="C24" s="134" t="s">
        <v>44</v>
      </c>
      <c r="D24" s="105"/>
      <c r="E24" s="105"/>
      <c r="F24" s="105"/>
      <c r="G24" s="105"/>
      <c r="H24" s="105"/>
      <c r="I24" s="105"/>
      <c r="J24" s="105"/>
      <c r="K24" s="1264"/>
      <c r="L24" s="1256" t="s">
        <v>66</v>
      </c>
      <c r="M24" s="1256">
        <f>SUM(M12:M22)</f>
        <v>134655</v>
      </c>
      <c r="N24" s="1256">
        <f>SUM(N12:N22)</f>
        <v>141802</v>
      </c>
      <c r="O24" s="1256">
        <f>SUM(O12:O22)</f>
        <v>276457</v>
      </c>
      <c r="P24" s="288">
        <f>SUM(P12:P23)</f>
        <v>2097</v>
      </c>
      <c r="Q24" s="288"/>
      <c r="R24" s="288">
        <f t="shared" si="1"/>
        <v>136752</v>
      </c>
      <c r="S24" s="288">
        <f t="shared" si="2"/>
        <v>141802</v>
      </c>
      <c r="T24" s="288">
        <f t="shared" si="3"/>
        <v>278554</v>
      </c>
    </row>
    <row r="25" spans="2:20" x14ac:dyDescent="0.2">
      <c r="B25" s="624">
        <f t="shared" si="0"/>
        <v>15</v>
      </c>
      <c r="C25" s="134" t="s">
        <v>45</v>
      </c>
      <c r="D25" s="135"/>
      <c r="E25" s="135"/>
      <c r="F25" s="135"/>
      <c r="G25" s="135"/>
      <c r="H25" s="135"/>
      <c r="I25" s="135"/>
      <c r="J25" s="135"/>
      <c r="K25" s="1263"/>
      <c r="L25" s="136"/>
      <c r="M25" s="136"/>
      <c r="N25" s="136"/>
      <c r="O25" s="136"/>
      <c r="P25" s="232"/>
      <c r="Q25" s="232"/>
      <c r="R25" s="232"/>
      <c r="S25" s="232"/>
      <c r="T25" s="232"/>
    </row>
    <row r="26" spans="2:20" x14ac:dyDescent="0.2">
      <c r="B26" s="624">
        <f t="shared" si="0"/>
        <v>16</v>
      </c>
      <c r="C26" s="134" t="s">
        <v>46</v>
      </c>
      <c r="D26" s="103"/>
      <c r="E26" s="103"/>
      <c r="F26" s="103"/>
      <c r="G26" s="103"/>
      <c r="H26" s="103"/>
      <c r="I26" s="103"/>
      <c r="J26" s="103"/>
      <c r="K26" s="421"/>
      <c r="L26" s="103" t="s">
        <v>34</v>
      </c>
      <c r="M26" s="140"/>
      <c r="N26" s="140"/>
      <c r="O26" s="136"/>
      <c r="P26" s="232"/>
      <c r="Q26" s="232"/>
      <c r="R26" s="232"/>
      <c r="S26" s="232"/>
      <c r="T26" s="232"/>
    </row>
    <row r="27" spans="2:20" x14ac:dyDescent="0.2">
      <c r="B27" s="624">
        <f t="shared" si="0"/>
        <v>17</v>
      </c>
      <c r="C27" s="134" t="s">
        <v>47</v>
      </c>
      <c r="D27" s="97"/>
      <c r="E27" s="97"/>
      <c r="F27" s="97"/>
      <c r="G27" s="97"/>
      <c r="H27" s="97"/>
      <c r="I27" s="97"/>
      <c r="J27" s="97"/>
      <c r="K27" s="375"/>
      <c r="L27" s="97" t="s">
        <v>242</v>
      </c>
      <c r="M27" s="136">
        <f>'felhalm. kiad.  '!M99</f>
        <v>6175</v>
      </c>
      <c r="N27" s="136">
        <f>'felhalm. kiad.  '!P99</f>
        <v>6335</v>
      </c>
      <c r="O27" s="136">
        <f>SUM(M27:N27)</f>
        <v>12510</v>
      </c>
      <c r="P27" s="232"/>
      <c r="Q27" s="232"/>
      <c r="R27" s="232">
        <f>M27+P27</f>
        <v>6175</v>
      </c>
      <c r="S27" s="232">
        <f>N27+Q27</f>
        <v>6335</v>
      </c>
      <c r="T27" s="232">
        <f>SUM(R27:S27)</f>
        <v>12510</v>
      </c>
    </row>
    <row r="28" spans="2:20" x14ac:dyDescent="0.2">
      <c r="B28" s="624">
        <f t="shared" si="0"/>
        <v>18</v>
      </c>
      <c r="C28" s="134"/>
      <c r="D28" s="97"/>
      <c r="E28" s="97"/>
      <c r="F28" s="97"/>
      <c r="G28" s="97"/>
      <c r="H28" s="97"/>
      <c r="I28" s="97"/>
      <c r="J28" s="97"/>
      <c r="K28" s="375"/>
      <c r="L28" s="97" t="s">
        <v>31</v>
      </c>
      <c r="M28" s="136"/>
      <c r="N28" s="136"/>
      <c r="O28" s="136"/>
      <c r="P28" s="232"/>
      <c r="Q28" s="232"/>
      <c r="R28" s="232"/>
      <c r="S28" s="232"/>
      <c r="T28" s="232"/>
    </row>
    <row r="29" spans="2:20" x14ac:dyDescent="0.2">
      <c r="B29" s="624">
        <f t="shared" si="0"/>
        <v>19</v>
      </c>
      <c r="C29" s="147" t="s">
        <v>50</v>
      </c>
      <c r="D29" s="97"/>
      <c r="E29" s="97"/>
      <c r="F29" s="97"/>
      <c r="G29" s="97"/>
      <c r="H29" s="97"/>
      <c r="I29" s="97"/>
      <c r="J29" s="97"/>
      <c r="K29" s="375"/>
      <c r="L29" s="97" t="s">
        <v>32</v>
      </c>
      <c r="M29" s="136"/>
      <c r="N29" s="136"/>
      <c r="O29" s="136"/>
      <c r="P29" s="232"/>
      <c r="Q29" s="232"/>
      <c r="R29" s="232"/>
      <c r="S29" s="232"/>
      <c r="T29" s="232"/>
    </row>
    <row r="30" spans="2:20" s="102" customFormat="1" x14ac:dyDescent="0.2">
      <c r="B30" s="624">
        <f t="shared" si="0"/>
        <v>20</v>
      </c>
      <c r="C30" s="147" t="s">
        <v>48</v>
      </c>
      <c r="D30" s="97"/>
      <c r="E30" s="97"/>
      <c r="F30" s="97"/>
      <c r="G30" s="97"/>
      <c r="H30" s="97"/>
      <c r="I30" s="97"/>
      <c r="J30" s="97"/>
      <c r="K30" s="375"/>
      <c r="L30" s="97" t="s">
        <v>473</v>
      </c>
      <c r="M30" s="136"/>
      <c r="N30" s="136"/>
      <c r="O30" s="136"/>
      <c r="P30" s="289"/>
      <c r="Q30" s="289"/>
      <c r="R30" s="289"/>
      <c r="S30" s="289"/>
      <c r="T30" s="289"/>
    </row>
    <row r="31" spans="2:20" x14ac:dyDescent="0.2">
      <c r="B31" s="624">
        <f t="shared" si="0"/>
        <v>21</v>
      </c>
      <c r="C31" s="147"/>
      <c r="D31" s="97"/>
      <c r="E31" s="97"/>
      <c r="F31" s="97"/>
      <c r="G31" s="97"/>
      <c r="H31" s="97"/>
      <c r="I31" s="97"/>
      <c r="J31" s="97"/>
      <c r="K31" s="375"/>
      <c r="L31" s="97" t="s">
        <v>470</v>
      </c>
      <c r="M31" s="136"/>
      <c r="N31" s="136"/>
      <c r="O31" s="136"/>
      <c r="P31" s="232"/>
      <c r="Q31" s="232"/>
      <c r="R31" s="232"/>
      <c r="S31" s="232"/>
      <c r="T31" s="232"/>
    </row>
    <row r="32" spans="2:20" s="9" customFormat="1" x14ac:dyDescent="0.2">
      <c r="B32" s="624">
        <f t="shared" si="0"/>
        <v>22</v>
      </c>
      <c r="C32" s="1257" t="s">
        <v>52</v>
      </c>
      <c r="D32" s="1253">
        <f>D13+D14+D16+D18+D20+D23+D24+D25+D26+D27+D29+D30</f>
        <v>15</v>
      </c>
      <c r="E32" s="1253">
        <f>E13+E14+E16+E18+E20+E23+E24+E25+E26+E27+E29+E30</f>
        <v>402</v>
      </c>
      <c r="F32" s="1253">
        <f>F13+F14+F16+F18+F20+F23+F24+F25+F26+F27+F29+F30</f>
        <v>417</v>
      </c>
      <c r="G32" s="1253">
        <f>G14</f>
        <v>1358</v>
      </c>
      <c r="H32" s="1253">
        <f>H14</f>
        <v>0</v>
      </c>
      <c r="I32" s="1253">
        <f>I14+I20</f>
        <v>1373</v>
      </c>
      <c r="J32" s="1253">
        <f t="shared" ref="J32:K32" si="7">J14+J20</f>
        <v>402</v>
      </c>
      <c r="K32" s="389">
        <f t="shared" si="7"/>
        <v>1775</v>
      </c>
      <c r="L32" s="97" t="s">
        <v>466</v>
      </c>
      <c r="M32" s="136"/>
      <c r="N32" s="136"/>
      <c r="O32" s="136"/>
      <c r="P32" s="290"/>
      <c r="Q32" s="290"/>
      <c r="R32" s="290"/>
      <c r="S32" s="290"/>
      <c r="T32" s="290"/>
    </row>
    <row r="33" spans="2:20" x14ac:dyDescent="0.2">
      <c r="B33" s="624">
        <f t="shared" si="0"/>
        <v>23</v>
      </c>
      <c r="C33" s="142" t="s">
        <v>67</v>
      </c>
      <c r="D33" s="289"/>
      <c r="E33" s="289"/>
      <c r="F33" s="289"/>
      <c r="G33" s="289"/>
      <c r="H33" s="289"/>
      <c r="I33" s="289"/>
      <c r="J33" s="289"/>
      <c r="K33" s="393"/>
      <c r="L33" s="105" t="s">
        <v>68</v>
      </c>
      <c r="M33" s="144">
        <f>SUM(M27:M32)</f>
        <v>6175</v>
      </c>
      <c r="N33" s="144">
        <f>SUM(N27:N32)</f>
        <v>6335</v>
      </c>
      <c r="O33" s="144">
        <f>SUM(O27:O31)</f>
        <v>12510</v>
      </c>
      <c r="P33" s="289"/>
      <c r="Q33" s="289"/>
      <c r="R33" s="289">
        <f>SUM(R27:R32)</f>
        <v>6175</v>
      </c>
      <c r="S33" s="289">
        <f>SUM(S27:S32)</f>
        <v>6335</v>
      </c>
      <c r="T33" s="289">
        <f>SUM(T27:T32)</f>
        <v>12510</v>
      </c>
    </row>
    <row r="34" spans="2:20" x14ac:dyDescent="0.2">
      <c r="B34" s="624">
        <f t="shared" si="0"/>
        <v>24</v>
      </c>
      <c r="C34" s="145" t="s">
        <v>51</v>
      </c>
      <c r="D34" s="290">
        <f>SUM(D32:D33)</f>
        <v>15</v>
      </c>
      <c r="E34" s="290">
        <f>SUM(E32:E33)</f>
        <v>402</v>
      </c>
      <c r="F34" s="290">
        <f>SUM(F32:F33)</f>
        <v>417</v>
      </c>
      <c r="G34" s="290">
        <f>G335+G32</f>
        <v>1358</v>
      </c>
      <c r="H34" s="290">
        <f t="shared" ref="H34:K34" si="8">H335+H32</f>
        <v>0</v>
      </c>
      <c r="I34" s="290">
        <f t="shared" si="8"/>
        <v>1373</v>
      </c>
      <c r="J34" s="290">
        <f t="shared" si="8"/>
        <v>402</v>
      </c>
      <c r="K34" s="374">
        <f t="shared" si="8"/>
        <v>1775</v>
      </c>
      <c r="L34" s="140" t="s">
        <v>69</v>
      </c>
      <c r="M34" s="140">
        <f>M24+M33</f>
        <v>140830</v>
      </c>
      <c r="N34" s="140">
        <f>N24+N33</f>
        <v>148137</v>
      </c>
      <c r="O34" s="140">
        <f>O24+O33</f>
        <v>288967</v>
      </c>
      <c r="P34" s="290">
        <f>P24+P33</f>
        <v>2097</v>
      </c>
      <c r="Q34" s="290">
        <f t="shared" ref="Q34:T34" si="9">Q24+Q33</f>
        <v>0</v>
      </c>
      <c r="R34" s="290">
        <f t="shared" si="9"/>
        <v>142927</v>
      </c>
      <c r="S34" s="290">
        <f t="shared" si="9"/>
        <v>148137</v>
      </c>
      <c r="T34" s="290">
        <f t="shared" si="9"/>
        <v>291064</v>
      </c>
    </row>
    <row r="35" spans="2:20" x14ac:dyDescent="0.2">
      <c r="B35" s="624">
        <f t="shared" si="0"/>
        <v>25</v>
      </c>
      <c r="C35" s="147"/>
      <c r="D35" s="136"/>
      <c r="E35" s="136"/>
      <c r="F35" s="136"/>
      <c r="G35" s="136"/>
      <c r="H35" s="136"/>
      <c r="I35" s="136"/>
      <c r="J35" s="136"/>
      <c r="K35" s="1267"/>
      <c r="L35" s="136"/>
      <c r="M35" s="136"/>
      <c r="N35" s="136"/>
      <c r="O35" s="136"/>
      <c r="P35" s="232"/>
      <c r="Q35" s="232"/>
      <c r="R35" s="232"/>
      <c r="S35" s="232"/>
      <c r="T35" s="232"/>
    </row>
    <row r="36" spans="2:20" x14ac:dyDescent="0.2">
      <c r="B36" s="624">
        <f t="shared" si="0"/>
        <v>26</v>
      </c>
      <c r="C36" s="147"/>
      <c r="D36" s="136"/>
      <c r="E36" s="136"/>
      <c r="F36" s="136"/>
      <c r="G36" s="136"/>
      <c r="H36" s="136"/>
      <c r="I36" s="136"/>
      <c r="J36" s="136"/>
      <c r="K36" s="1267"/>
      <c r="L36" s="1256"/>
      <c r="M36" s="1256"/>
      <c r="N36" s="1256"/>
      <c r="O36" s="1256"/>
      <c r="P36" s="232"/>
      <c r="Q36" s="232"/>
      <c r="R36" s="232"/>
      <c r="S36" s="232"/>
      <c r="T36" s="232"/>
    </row>
    <row r="37" spans="2:20" s="9" customFormat="1" x14ac:dyDescent="0.2">
      <c r="B37" s="624">
        <f t="shared" si="0"/>
        <v>27</v>
      </c>
      <c r="C37" s="147"/>
      <c r="D37" s="136"/>
      <c r="E37" s="136"/>
      <c r="F37" s="136"/>
      <c r="G37" s="136"/>
      <c r="H37" s="136"/>
      <c r="I37" s="136"/>
      <c r="J37" s="136"/>
      <c r="K37" s="1267"/>
      <c r="L37" s="136"/>
      <c r="M37" s="136"/>
      <c r="N37" s="136"/>
      <c r="O37" s="136"/>
      <c r="P37" s="290"/>
      <c r="Q37" s="290"/>
      <c r="R37" s="290"/>
      <c r="S37" s="290"/>
      <c r="T37" s="290"/>
    </row>
    <row r="38" spans="2:20" s="9" customFormat="1" x14ac:dyDescent="0.2">
      <c r="B38" s="624">
        <f t="shared" si="0"/>
        <v>28</v>
      </c>
      <c r="C38" s="103" t="s">
        <v>53</v>
      </c>
      <c r="D38" s="103"/>
      <c r="E38" s="103"/>
      <c r="F38" s="103"/>
      <c r="G38" s="103"/>
      <c r="H38" s="103"/>
      <c r="I38" s="103"/>
      <c r="J38" s="103"/>
      <c r="K38" s="421"/>
      <c r="L38" s="103" t="s">
        <v>33</v>
      </c>
      <c r="M38" s="140"/>
      <c r="N38" s="140"/>
      <c r="O38" s="140"/>
      <c r="P38" s="290"/>
      <c r="Q38" s="290"/>
      <c r="R38" s="290"/>
      <c r="S38" s="290"/>
      <c r="T38" s="290"/>
    </row>
    <row r="39" spans="2:20" s="9" customFormat="1" x14ac:dyDescent="0.2">
      <c r="B39" s="624">
        <f t="shared" si="0"/>
        <v>29</v>
      </c>
      <c r="C39" s="1260" t="s">
        <v>726</v>
      </c>
      <c r="D39" s="103"/>
      <c r="E39" s="103"/>
      <c r="F39" s="103"/>
      <c r="G39" s="103"/>
      <c r="H39" s="103"/>
      <c r="I39" s="103"/>
      <c r="J39" s="103"/>
      <c r="K39" s="421"/>
      <c r="L39" s="1260" t="s">
        <v>4</v>
      </c>
      <c r="M39" s="140"/>
      <c r="N39" s="145"/>
      <c r="O39" s="145"/>
      <c r="P39" s="290"/>
      <c r="Q39" s="290"/>
      <c r="R39" s="290"/>
      <c r="S39" s="290"/>
      <c r="T39" s="290"/>
    </row>
    <row r="40" spans="2:20" s="9" customFormat="1" x14ac:dyDescent="0.2">
      <c r="B40" s="624">
        <f t="shared" si="0"/>
        <v>30</v>
      </c>
      <c r="C40" s="147" t="s">
        <v>1017</v>
      </c>
      <c r="D40" s="103"/>
      <c r="E40" s="103"/>
      <c r="F40" s="103"/>
      <c r="G40" s="103"/>
      <c r="H40" s="103"/>
      <c r="I40" s="103"/>
      <c r="J40" s="103"/>
      <c r="K40" s="421"/>
      <c r="L40" s="134" t="s">
        <v>3</v>
      </c>
      <c r="M40" s="140"/>
      <c r="N40" s="140"/>
      <c r="O40" s="140"/>
      <c r="P40" s="290"/>
      <c r="Q40" s="290"/>
      <c r="R40" s="290"/>
      <c r="S40" s="290"/>
      <c r="T40" s="290"/>
    </row>
    <row r="41" spans="2:20" x14ac:dyDescent="0.2">
      <c r="B41" s="624">
        <f t="shared" si="0"/>
        <v>31</v>
      </c>
      <c r="C41" s="97" t="s">
        <v>728</v>
      </c>
      <c r="D41" s="151"/>
      <c r="E41" s="151"/>
      <c r="F41" s="151"/>
      <c r="G41" s="151"/>
      <c r="H41" s="151"/>
      <c r="I41" s="151"/>
      <c r="J41" s="151"/>
      <c r="K41" s="1268"/>
      <c r="L41" s="97" t="s">
        <v>5</v>
      </c>
      <c r="M41" s="140"/>
      <c r="N41" s="140"/>
      <c r="O41" s="140"/>
      <c r="P41" s="232"/>
      <c r="Q41" s="232"/>
      <c r="R41" s="232"/>
      <c r="S41" s="232"/>
      <c r="T41" s="232"/>
    </row>
    <row r="42" spans="2:20" x14ac:dyDescent="0.2">
      <c r="B42" s="624">
        <f t="shared" si="0"/>
        <v>32</v>
      </c>
      <c r="C42" s="97" t="s">
        <v>223</v>
      </c>
      <c r="D42" s="97"/>
      <c r="E42" s="97"/>
      <c r="F42" s="97"/>
      <c r="G42" s="97"/>
      <c r="H42" s="97"/>
      <c r="I42" s="97"/>
      <c r="J42" s="97"/>
      <c r="K42" s="375"/>
      <c r="L42" s="97" t="s">
        <v>6</v>
      </c>
      <c r="M42" s="140"/>
      <c r="N42" s="140"/>
      <c r="O42" s="140"/>
      <c r="P42" s="232"/>
      <c r="Q42" s="232"/>
      <c r="R42" s="232"/>
      <c r="S42" s="232"/>
      <c r="T42" s="232"/>
    </row>
    <row r="43" spans="2:20" x14ac:dyDescent="0.2">
      <c r="B43" s="624">
        <f t="shared" si="0"/>
        <v>33</v>
      </c>
      <c r="C43" s="1261" t="s">
        <v>224</v>
      </c>
      <c r="D43" s="97"/>
      <c r="E43" s="97"/>
      <c r="F43" s="97">
        <f>D43+E43</f>
        <v>0</v>
      </c>
      <c r="G43" s="97"/>
      <c r="H43" s="97"/>
      <c r="I43" s="97"/>
      <c r="J43" s="97"/>
      <c r="K43" s="375"/>
      <c r="L43" s="97" t="s">
        <v>7</v>
      </c>
      <c r="M43" s="140"/>
      <c r="N43" s="140"/>
      <c r="O43" s="140"/>
      <c r="P43" s="232"/>
      <c r="Q43" s="232"/>
      <c r="R43" s="232"/>
      <c r="S43" s="232"/>
      <c r="T43" s="232"/>
    </row>
    <row r="44" spans="2:20" x14ac:dyDescent="0.2">
      <c r="B44" s="624">
        <f t="shared" si="0"/>
        <v>34</v>
      </c>
      <c r="C44" s="1261" t="s">
        <v>1014</v>
      </c>
      <c r="D44" s="97"/>
      <c r="E44" s="97"/>
      <c r="F44" s="97"/>
      <c r="G44" s="97"/>
      <c r="H44" s="97"/>
      <c r="I44" s="97"/>
      <c r="J44" s="97"/>
      <c r="K44" s="375"/>
      <c r="L44" s="97"/>
      <c r="M44" s="140"/>
      <c r="N44" s="140"/>
      <c r="O44" s="140"/>
      <c r="P44" s="232"/>
      <c r="Q44" s="232"/>
      <c r="R44" s="232"/>
      <c r="S44" s="232"/>
      <c r="T44" s="232"/>
    </row>
    <row r="45" spans="2:20" x14ac:dyDescent="0.2">
      <c r="B45" s="624">
        <f t="shared" si="0"/>
        <v>35</v>
      </c>
      <c r="C45" s="97" t="s">
        <v>729</v>
      </c>
      <c r="D45" s="97"/>
      <c r="E45" s="97"/>
      <c r="F45" s="97"/>
      <c r="G45" s="97"/>
      <c r="H45" s="97"/>
      <c r="I45" s="97"/>
      <c r="J45" s="97"/>
      <c r="K45" s="375"/>
      <c r="L45" s="97" t="s">
        <v>8</v>
      </c>
      <c r="M45" s="140"/>
      <c r="N45" s="140"/>
      <c r="O45" s="136"/>
      <c r="P45" s="232"/>
      <c r="Q45" s="232"/>
      <c r="R45" s="232"/>
      <c r="S45" s="232"/>
      <c r="T45" s="232"/>
    </row>
    <row r="46" spans="2:20" x14ac:dyDescent="0.2">
      <c r="B46" s="624">
        <f t="shared" si="0"/>
        <v>36</v>
      </c>
      <c r="C46" s="97" t="s">
        <v>730</v>
      </c>
      <c r="D46" s="103"/>
      <c r="E46" s="103"/>
      <c r="F46" s="103"/>
      <c r="G46" s="103"/>
      <c r="H46" s="103"/>
      <c r="I46" s="103"/>
      <c r="J46" s="103"/>
      <c r="K46" s="421"/>
      <c r="L46" s="97" t="s">
        <v>9</v>
      </c>
      <c r="M46" s="140"/>
      <c r="N46" s="140"/>
      <c r="O46" s="136"/>
      <c r="P46" s="232"/>
      <c r="Q46" s="232"/>
      <c r="R46" s="232"/>
      <c r="S46" s="232"/>
      <c r="T46" s="232"/>
    </row>
    <row r="47" spans="2:20" x14ac:dyDescent="0.2">
      <c r="B47" s="624">
        <f t="shared" si="0"/>
        <v>37</v>
      </c>
      <c r="C47" s="97" t="s">
        <v>227</v>
      </c>
      <c r="D47" s="97"/>
      <c r="E47" s="97"/>
      <c r="F47" s="97"/>
      <c r="G47" s="97"/>
      <c r="H47" s="97"/>
      <c r="I47" s="97"/>
      <c r="J47" s="97"/>
      <c r="K47" s="375"/>
      <c r="L47" s="97" t="s">
        <v>10</v>
      </c>
      <c r="M47" s="136"/>
      <c r="N47" s="136"/>
      <c r="O47" s="136"/>
      <c r="P47" s="232"/>
      <c r="Q47" s="232"/>
      <c r="R47" s="232"/>
      <c r="S47" s="232"/>
      <c r="T47" s="232"/>
    </row>
    <row r="48" spans="2:20" x14ac:dyDescent="0.2">
      <c r="B48" s="624">
        <f t="shared" si="0"/>
        <v>38</v>
      </c>
      <c r="C48" s="1261" t="s">
        <v>228</v>
      </c>
      <c r="D48" s="225">
        <f>M24-(D34+D43)</f>
        <v>134640</v>
      </c>
      <c r="E48" s="225">
        <f>N24-(E34+E43)</f>
        <v>141400</v>
      </c>
      <c r="F48" s="225">
        <f>O24-(F34+F43)</f>
        <v>276040</v>
      </c>
      <c r="G48" s="225">
        <f>P24-(G34+G43)</f>
        <v>739</v>
      </c>
      <c r="H48" s="225">
        <f t="shared" ref="H48:K49" si="10">Q24-(H34+H43)</f>
        <v>0</v>
      </c>
      <c r="I48" s="225">
        <f t="shared" si="10"/>
        <v>135379</v>
      </c>
      <c r="J48" s="225">
        <f t="shared" si="10"/>
        <v>141400</v>
      </c>
      <c r="K48" s="390">
        <f t="shared" si="10"/>
        <v>276779</v>
      </c>
      <c r="L48" s="97" t="s">
        <v>11</v>
      </c>
      <c r="M48" s="136"/>
      <c r="N48" s="136"/>
      <c r="O48" s="136"/>
      <c r="P48" s="232"/>
      <c r="Q48" s="232"/>
      <c r="R48" s="232"/>
      <c r="S48" s="232"/>
      <c r="T48" s="232"/>
    </row>
    <row r="49" spans="2:20" x14ac:dyDescent="0.2">
      <c r="B49" s="624">
        <f t="shared" si="0"/>
        <v>39</v>
      </c>
      <c r="C49" s="1261" t="s">
        <v>229</v>
      </c>
      <c r="D49" s="97">
        <f>M33-D33</f>
        <v>6175</v>
      </c>
      <c r="E49" s="97">
        <f>N33-E33</f>
        <v>6335</v>
      </c>
      <c r="F49" s="97">
        <f>O33-F33</f>
        <v>12510</v>
      </c>
      <c r="G49" s="97">
        <f>P33-G33</f>
        <v>0</v>
      </c>
      <c r="H49" s="225">
        <f t="shared" si="10"/>
        <v>0</v>
      </c>
      <c r="I49" s="97">
        <f t="shared" ref="I49:K49" si="11">R33-I33</f>
        <v>6175</v>
      </c>
      <c r="J49" s="97">
        <f t="shared" si="11"/>
        <v>6335</v>
      </c>
      <c r="K49" s="375">
        <f t="shared" si="11"/>
        <v>12510</v>
      </c>
      <c r="L49" s="97" t="s">
        <v>12</v>
      </c>
      <c r="M49" s="136"/>
      <c r="N49" s="136"/>
      <c r="O49" s="136"/>
      <c r="P49" s="232"/>
      <c r="Q49" s="232"/>
      <c r="R49" s="232"/>
      <c r="S49" s="232"/>
      <c r="T49" s="232"/>
    </row>
    <row r="50" spans="2:20" x14ac:dyDescent="0.2">
      <c r="B50" s="624">
        <f t="shared" si="0"/>
        <v>40</v>
      </c>
      <c r="C50" s="97" t="s">
        <v>1</v>
      </c>
      <c r="D50" s="97"/>
      <c r="E50" s="97"/>
      <c r="F50" s="97"/>
      <c r="G50" s="97"/>
      <c r="H50" s="225"/>
      <c r="I50" s="97"/>
      <c r="J50" s="97"/>
      <c r="K50" s="375"/>
      <c r="L50" s="97" t="s">
        <v>13</v>
      </c>
      <c r="M50" s="136"/>
      <c r="N50" s="136"/>
      <c r="O50" s="136"/>
      <c r="P50" s="232"/>
      <c r="Q50" s="232"/>
      <c r="R50" s="232"/>
      <c r="S50" s="232"/>
      <c r="T50" s="232"/>
    </row>
    <row r="51" spans="2:20" x14ac:dyDescent="0.2">
      <c r="B51" s="624">
        <f t="shared" si="0"/>
        <v>41</v>
      </c>
      <c r="C51" s="97"/>
      <c r="D51" s="97"/>
      <c r="E51" s="97"/>
      <c r="F51" s="97"/>
      <c r="G51" s="97"/>
      <c r="H51" s="225"/>
      <c r="I51" s="97"/>
      <c r="J51" s="97"/>
      <c r="K51" s="375"/>
      <c r="L51" s="97" t="s">
        <v>14</v>
      </c>
      <c r="M51" s="136"/>
      <c r="N51" s="136"/>
      <c r="O51" s="136"/>
      <c r="P51" s="232"/>
      <c r="Q51" s="232"/>
      <c r="R51" s="232"/>
      <c r="S51" s="232"/>
      <c r="T51" s="232"/>
    </row>
    <row r="52" spans="2:20" x14ac:dyDescent="0.2">
      <c r="B52" s="624">
        <f t="shared" si="0"/>
        <v>42</v>
      </c>
      <c r="C52" s="97"/>
      <c r="D52" s="97"/>
      <c r="E52" s="97"/>
      <c r="F52" s="97"/>
      <c r="G52" s="97"/>
      <c r="H52" s="225"/>
      <c r="I52" s="97"/>
      <c r="J52" s="97"/>
      <c r="K52" s="375"/>
      <c r="L52" s="97" t="s">
        <v>15</v>
      </c>
      <c r="M52" s="136"/>
      <c r="N52" s="136"/>
      <c r="O52" s="136"/>
      <c r="P52" s="232"/>
      <c r="Q52" s="232"/>
      <c r="R52" s="232"/>
      <c r="S52" s="232"/>
      <c r="T52" s="232"/>
    </row>
    <row r="53" spans="2:20" ht="12" thickBot="1" x14ac:dyDescent="0.25">
      <c r="B53" s="624">
        <f t="shared" si="0"/>
        <v>43</v>
      </c>
      <c r="C53" s="145" t="s">
        <v>474</v>
      </c>
      <c r="D53" s="103">
        <f>SUM(D39:D51)</f>
        <v>140815</v>
      </c>
      <c r="E53" s="103">
        <f>SUM(E39:E51)</f>
        <v>147735</v>
      </c>
      <c r="F53" s="103">
        <f>SUM(F39:F51)</f>
        <v>288550</v>
      </c>
      <c r="G53" s="103">
        <f>SUM(G48:G52)</f>
        <v>739</v>
      </c>
      <c r="H53" s="225">
        <f>SUM(H48:H52)</f>
        <v>0</v>
      </c>
      <c r="I53" s="103">
        <f>SUM(I48:I52)</f>
        <v>141554</v>
      </c>
      <c r="J53" s="103">
        <f>SUM(J48:J52)</f>
        <v>147735</v>
      </c>
      <c r="K53" s="421">
        <f>SUM(K48:K52)</f>
        <v>289289</v>
      </c>
      <c r="L53" s="103" t="s">
        <v>467</v>
      </c>
      <c r="M53" s="140">
        <f>SUM(M39:M52)</f>
        <v>0</v>
      </c>
      <c r="N53" s="140">
        <f>SUM(N39:N52)</f>
        <v>0</v>
      </c>
      <c r="O53" s="140">
        <f>SUM(O39:O52)</f>
        <v>0</v>
      </c>
      <c r="P53" s="232"/>
      <c r="Q53" s="232"/>
      <c r="R53" s="232"/>
      <c r="S53" s="232"/>
      <c r="T53" s="232"/>
    </row>
    <row r="54" spans="2:20" ht="12" thickBot="1" x14ac:dyDescent="0.25">
      <c r="B54" s="1061">
        <f t="shared" si="0"/>
        <v>44</v>
      </c>
      <c r="C54" s="1062" t="s">
        <v>469</v>
      </c>
      <c r="D54" s="164">
        <f>D34+D53</f>
        <v>140830</v>
      </c>
      <c r="E54" s="164">
        <f>E34+E53</f>
        <v>148137</v>
      </c>
      <c r="F54" s="164">
        <f>F34+F53</f>
        <v>288967</v>
      </c>
      <c r="G54" s="164">
        <f>G53+G34</f>
        <v>2097</v>
      </c>
      <c r="H54" s="164">
        <f t="shared" ref="H54:K54" si="12">H53+H34</f>
        <v>0</v>
      </c>
      <c r="I54" s="164">
        <f t="shared" si="12"/>
        <v>142927</v>
      </c>
      <c r="J54" s="164">
        <f t="shared" si="12"/>
        <v>148137</v>
      </c>
      <c r="K54" s="164">
        <f t="shared" si="12"/>
        <v>291064</v>
      </c>
      <c r="L54" s="1275" t="s">
        <v>468</v>
      </c>
      <c r="M54" s="164">
        <f>M34+M53</f>
        <v>140830</v>
      </c>
      <c r="N54" s="164">
        <f>N34+N53</f>
        <v>148137</v>
      </c>
      <c r="O54" s="164">
        <f>O34+O53</f>
        <v>288967</v>
      </c>
      <c r="P54" s="669">
        <f>P34+P53</f>
        <v>2097</v>
      </c>
      <c r="Q54" s="669">
        <f t="shared" ref="Q54:T54" si="13">Q34+Q53</f>
        <v>0</v>
      </c>
      <c r="R54" s="669">
        <f t="shared" si="13"/>
        <v>142927</v>
      </c>
      <c r="S54" s="669">
        <f t="shared" si="13"/>
        <v>148137</v>
      </c>
      <c r="T54" s="669">
        <f t="shared" si="13"/>
        <v>291064</v>
      </c>
    </row>
    <row r="55" spans="2:20" x14ac:dyDescent="0.2">
      <c r="C55" s="150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</row>
  </sheetData>
  <sheetProtection selectLockedCells="1" selectUnlockedCells="1"/>
  <mergeCells count="16">
    <mergeCell ref="B4:T4"/>
    <mergeCell ref="B5:T5"/>
    <mergeCell ref="B6:T6"/>
    <mergeCell ref="D1:T1"/>
    <mergeCell ref="B7:T7"/>
    <mergeCell ref="P9:Q9"/>
    <mergeCell ref="R9:T9"/>
    <mergeCell ref="B8:B10"/>
    <mergeCell ref="C8:C9"/>
    <mergeCell ref="D9:F9"/>
    <mergeCell ref="M9:O9"/>
    <mergeCell ref="L8:L9"/>
    <mergeCell ref="G9:H9"/>
    <mergeCell ref="I9:K9"/>
    <mergeCell ref="D8:K8"/>
    <mergeCell ref="M8:T8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165" customWidth="1"/>
    <col min="2" max="2" width="33" style="94" customWidth="1"/>
    <col min="3" max="3" width="10.7109375" style="96" customWidth="1"/>
    <col min="4" max="4" width="12.28515625" style="96" customWidth="1"/>
    <col min="5" max="5" width="9.140625" style="96"/>
    <col min="6" max="6" width="11.28515625" style="96" customWidth="1"/>
    <col min="7" max="7" width="11.140625" style="96" customWidth="1"/>
    <col min="8" max="10" width="10" style="96" customWidth="1"/>
    <col min="11" max="11" width="11.28515625" style="96" customWidth="1"/>
    <col min="12" max="12" width="7.28515625" style="237" hidden="1" customWidth="1"/>
    <col min="13" max="13" width="8.5703125" style="237" hidden="1" customWidth="1"/>
    <col min="14" max="14" width="7.5703125" style="237" hidden="1" customWidth="1"/>
    <col min="15" max="15" width="8.28515625" style="237" hidden="1" customWidth="1"/>
    <col min="16" max="16" width="5.7109375" style="237" hidden="1" customWidth="1"/>
    <col min="17" max="17" width="8" style="237" hidden="1" customWidth="1"/>
    <col min="18" max="18" width="6.140625" style="237" hidden="1" customWidth="1"/>
    <col min="19" max="19" width="4.42578125" style="459" customWidth="1"/>
    <col min="20" max="16384" width="9.140625" style="75"/>
  </cols>
  <sheetData>
    <row r="1" spans="1:19" ht="17.25" customHeight="1" x14ac:dyDescent="0.2">
      <c r="B1" s="1412" t="s">
        <v>311</v>
      </c>
      <c r="C1" s="1412"/>
      <c r="D1" s="1412"/>
      <c r="E1" s="1412"/>
      <c r="F1" s="1412"/>
      <c r="G1" s="1412"/>
      <c r="H1" s="1412"/>
      <c r="I1" s="1412"/>
      <c r="J1" s="1412"/>
      <c r="K1" s="1413"/>
      <c r="L1" s="1341"/>
      <c r="M1" s="1341"/>
      <c r="N1" s="1341"/>
      <c r="O1" s="1341"/>
      <c r="P1" s="1341"/>
      <c r="Q1" s="1341"/>
      <c r="R1" s="1341"/>
    </row>
    <row r="2" spans="1:19" ht="13.5" customHeight="1" x14ac:dyDescent="0.2">
      <c r="A2" s="1416" t="s">
        <v>87</v>
      </c>
      <c r="B2" s="1416"/>
      <c r="C2" s="1416"/>
      <c r="D2" s="1416"/>
      <c r="E2" s="1416"/>
      <c r="F2" s="1416"/>
      <c r="G2" s="1416"/>
      <c r="H2" s="1416"/>
      <c r="I2" s="1416"/>
      <c r="J2" s="1416"/>
      <c r="K2" s="1416"/>
      <c r="L2" s="75"/>
      <c r="M2" s="75"/>
      <c r="N2" s="75"/>
      <c r="O2" s="75"/>
      <c r="P2" s="75"/>
      <c r="Q2" s="75"/>
      <c r="R2" s="75"/>
      <c r="S2" s="448"/>
    </row>
    <row r="3" spans="1:19" s="77" customFormat="1" ht="12" customHeight="1" x14ac:dyDescent="0.2">
      <c r="A3" s="1308" t="s">
        <v>309</v>
      </c>
      <c r="B3" s="1414"/>
      <c r="C3" s="1414"/>
      <c r="D3" s="1414"/>
      <c r="E3" s="1414"/>
      <c r="F3" s="1414"/>
      <c r="G3" s="1414"/>
      <c r="H3" s="1414"/>
      <c r="I3" s="1414"/>
      <c r="J3" s="1414"/>
      <c r="K3" s="1414"/>
      <c r="L3" s="1341"/>
      <c r="M3" s="1341"/>
      <c r="N3" s="1341"/>
      <c r="O3" s="1341"/>
      <c r="P3" s="1341"/>
      <c r="Q3" s="1341"/>
      <c r="R3" s="1341"/>
      <c r="S3" s="460"/>
    </row>
    <row r="4" spans="1:19" s="77" customFormat="1" ht="23.25" customHeight="1" thickBot="1" x14ac:dyDescent="0.25">
      <c r="A4" s="166"/>
      <c r="B4" s="167"/>
      <c r="C4" s="168"/>
      <c r="D4" s="168"/>
      <c r="E4" s="168"/>
      <c r="F4" s="168"/>
      <c r="G4" s="1417" t="s">
        <v>321</v>
      </c>
      <c r="H4" s="1417"/>
      <c r="I4" s="1417"/>
      <c r="J4" s="1417"/>
      <c r="K4" s="1417"/>
      <c r="L4" s="274"/>
      <c r="M4" s="274"/>
      <c r="N4" s="274"/>
      <c r="O4" s="274"/>
      <c r="P4" s="274"/>
      <c r="Q4" s="274"/>
      <c r="R4" s="274"/>
      <c r="S4" s="460"/>
    </row>
    <row r="5" spans="1:19" s="95" customFormat="1" ht="17.25" customHeight="1" thickBot="1" x14ac:dyDescent="0.25">
      <c r="A5" s="1423" t="s">
        <v>498</v>
      </c>
      <c r="B5" s="1419" t="s">
        <v>563</v>
      </c>
      <c r="C5" s="1415" t="s">
        <v>57</v>
      </c>
      <c r="D5" s="1415"/>
      <c r="E5" s="1415" t="s">
        <v>58</v>
      </c>
      <c r="F5" s="1415"/>
      <c r="G5" s="1415" t="s">
        <v>59</v>
      </c>
      <c r="H5" s="1415"/>
      <c r="I5" s="1424" t="s">
        <v>60</v>
      </c>
      <c r="J5" s="1425"/>
      <c r="K5" s="169" t="s">
        <v>499</v>
      </c>
      <c r="L5" s="236"/>
      <c r="S5" s="448"/>
    </row>
    <row r="6" spans="1:19" s="95" customFormat="1" ht="17.25" customHeight="1" thickBot="1" x14ac:dyDescent="0.25">
      <c r="A6" s="1423"/>
      <c r="B6" s="1419"/>
      <c r="C6" s="1420" t="s">
        <v>308</v>
      </c>
      <c r="D6" s="1421"/>
      <c r="E6" s="1421"/>
      <c r="F6" s="1421"/>
      <c r="G6" s="1421"/>
      <c r="H6" s="1421"/>
      <c r="I6" s="1421"/>
      <c r="J6" s="1421"/>
      <c r="K6" s="1422"/>
      <c r="L6" s="236"/>
      <c r="S6" s="448"/>
    </row>
    <row r="7" spans="1:19" ht="40.15" customHeight="1" thickBot="1" x14ac:dyDescent="0.25">
      <c r="A7" s="1423"/>
      <c r="B7" s="1419"/>
      <c r="C7" s="1407" t="s">
        <v>478</v>
      </c>
      <c r="D7" s="1407"/>
      <c r="E7" s="1407" t="s">
        <v>479</v>
      </c>
      <c r="F7" s="1407"/>
      <c r="G7" s="1407" t="s">
        <v>22</v>
      </c>
      <c r="H7" s="1407"/>
      <c r="I7" s="1408" t="s">
        <v>270</v>
      </c>
      <c r="J7" s="1409"/>
      <c r="K7" s="1418" t="s">
        <v>564</v>
      </c>
      <c r="M7" s="75"/>
      <c r="N7" s="75"/>
      <c r="O7" s="75"/>
      <c r="P7" s="75"/>
      <c r="Q7" s="75"/>
      <c r="R7" s="75"/>
      <c r="S7" s="448"/>
    </row>
    <row r="8" spans="1:19" ht="50.25" customHeight="1" thickBot="1" x14ac:dyDescent="0.25">
      <c r="A8" s="1423"/>
      <c r="B8" s="1419"/>
      <c r="C8" s="1407"/>
      <c r="D8" s="1407"/>
      <c r="E8" s="1407"/>
      <c r="F8" s="1407"/>
      <c r="G8" s="1407"/>
      <c r="H8" s="1407"/>
      <c r="I8" s="1410"/>
      <c r="J8" s="1411"/>
      <c r="K8" s="1418"/>
      <c r="M8" s="75"/>
      <c r="N8" s="75"/>
      <c r="O8" s="75"/>
      <c r="P8" s="75"/>
      <c r="Q8" s="75"/>
      <c r="R8" s="75"/>
      <c r="S8" s="448"/>
    </row>
    <row r="9" spans="1:19" ht="33" customHeight="1" thickBot="1" x14ac:dyDescent="0.25">
      <c r="A9" s="1423"/>
      <c r="B9" s="1419"/>
      <c r="C9" s="170" t="s">
        <v>62</v>
      </c>
      <c r="D9" s="171" t="s">
        <v>63</v>
      </c>
      <c r="E9" s="170" t="s">
        <v>62</v>
      </c>
      <c r="F9" s="170" t="s">
        <v>63</v>
      </c>
      <c r="G9" s="170" t="s">
        <v>62</v>
      </c>
      <c r="H9" s="170" t="s">
        <v>63</v>
      </c>
      <c r="I9" s="170" t="s">
        <v>62</v>
      </c>
      <c r="J9" s="170" t="s">
        <v>63</v>
      </c>
      <c r="K9" s="1418"/>
      <c r="M9" s="75"/>
      <c r="N9" s="75"/>
      <c r="O9" s="75"/>
      <c r="P9" s="75"/>
      <c r="Q9" s="75"/>
      <c r="R9" s="75"/>
      <c r="S9" s="448"/>
    </row>
    <row r="10" spans="1:19" ht="17.25" customHeight="1" x14ac:dyDescent="0.2">
      <c r="A10" s="172" t="s">
        <v>508</v>
      </c>
      <c r="B10" s="173" t="s">
        <v>260</v>
      </c>
      <c r="C10" s="174">
        <v>1600</v>
      </c>
      <c r="E10" s="175"/>
      <c r="F10" s="176"/>
      <c r="G10" s="175"/>
      <c r="H10" s="419"/>
      <c r="I10" s="176"/>
      <c r="J10" s="176"/>
      <c r="K10" s="177">
        <f t="shared" ref="K10:K39" si="0">SUM(C10:J10)</f>
        <v>1600</v>
      </c>
      <c r="M10" s="75"/>
      <c r="N10" s="75"/>
      <c r="O10" s="75"/>
      <c r="P10" s="75"/>
      <c r="Q10" s="75"/>
      <c r="R10" s="75"/>
      <c r="S10" s="448"/>
    </row>
    <row r="11" spans="1:19" s="76" customFormat="1" ht="17.25" customHeight="1" x14ac:dyDescent="0.2">
      <c r="A11" s="172" t="s">
        <v>516</v>
      </c>
      <c r="B11" s="415" t="s">
        <v>261</v>
      </c>
      <c r="C11" s="416">
        <v>33533</v>
      </c>
      <c r="D11" s="417"/>
      <c r="E11" s="469">
        <f>'közhatalmi bevételek'!D26</f>
        <v>9000</v>
      </c>
      <c r="F11" s="178"/>
      <c r="G11" s="179"/>
      <c r="H11" s="420"/>
      <c r="I11" s="178"/>
      <c r="J11" s="178"/>
      <c r="K11" s="177">
        <f t="shared" si="0"/>
        <v>42533</v>
      </c>
      <c r="L11" s="225"/>
      <c r="S11" s="461"/>
    </row>
    <row r="12" spans="1:19" ht="17.25" customHeight="1" x14ac:dyDescent="0.2">
      <c r="A12" s="172" t="s">
        <v>517</v>
      </c>
      <c r="B12" s="134" t="s">
        <v>262</v>
      </c>
      <c r="C12" s="114"/>
      <c r="D12" s="97">
        <v>53</v>
      </c>
      <c r="E12" s="98"/>
      <c r="F12" s="97"/>
      <c r="G12" s="98"/>
      <c r="H12" s="375"/>
      <c r="I12" s="97"/>
      <c r="J12" s="97"/>
      <c r="K12" s="177">
        <f t="shared" si="0"/>
        <v>53</v>
      </c>
      <c r="M12" s="75"/>
      <c r="N12" s="75"/>
      <c r="O12" s="75"/>
      <c r="P12" s="75"/>
      <c r="Q12" s="75"/>
      <c r="R12" s="75"/>
      <c r="S12" s="448"/>
    </row>
    <row r="13" spans="1:19" ht="17.25" customHeight="1" x14ac:dyDescent="0.2">
      <c r="A13" s="172" t="s">
        <v>518</v>
      </c>
      <c r="B13" s="134" t="s">
        <v>263</v>
      </c>
      <c r="C13" s="114"/>
      <c r="D13" s="97">
        <v>391</v>
      </c>
      <c r="E13" s="98"/>
      <c r="F13" s="97"/>
      <c r="G13" s="98"/>
      <c r="H13" s="421"/>
      <c r="I13" s="180"/>
      <c r="J13" s="180"/>
      <c r="K13" s="177">
        <f t="shared" si="0"/>
        <v>391</v>
      </c>
      <c r="M13" s="75"/>
      <c r="N13" s="75"/>
      <c r="O13" s="75"/>
      <c r="P13" s="75"/>
      <c r="Q13" s="75"/>
      <c r="R13" s="75"/>
      <c r="S13" s="448"/>
    </row>
    <row r="14" spans="1:19" ht="17.25" customHeight="1" x14ac:dyDescent="0.2">
      <c r="A14" s="172" t="s">
        <v>519</v>
      </c>
      <c r="B14" s="134" t="s">
        <v>264</v>
      </c>
      <c r="C14" s="114"/>
      <c r="D14" s="97"/>
      <c r="E14" s="98"/>
      <c r="F14" s="97"/>
      <c r="G14" s="98"/>
      <c r="H14" s="421"/>
      <c r="I14" s="180"/>
      <c r="J14" s="180"/>
      <c r="K14" s="177">
        <f t="shared" si="0"/>
        <v>0</v>
      </c>
      <c r="M14" s="75"/>
      <c r="N14" s="75"/>
      <c r="O14" s="75"/>
      <c r="P14" s="75"/>
      <c r="Q14" s="75"/>
      <c r="R14" s="75"/>
      <c r="S14" s="448"/>
    </row>
    <row r="15" spans="1:19" ht="17.25" customHeight="1" x14ac:dyDescent="0.2">
      <c r="A15" s="172" t="s">
        <v>520</v>
      </c>
      <c r="B15" s="134" t="s">
        <v>265</v>
      </c>
      <c r="C15" s="114"/>
      <c r="D15" s="97">
        <v>20031</v>
      </c>
      <c r="E15" s="98"/>
      <c r="F15" s="97"/>
      <c r="G15" s="98"/>
      <c r="H15" s="421"/>
      <c r="I15" s="180"/>
      <c r="J15" s="180"/>
      <c r="K15" s="177">
        <f t="shared" si="0"/>
        <v>20031</v>
      </c>
      <c r="M15" s="75"/>
      <c r="N15" s="75"/>
      <c r="O15" s="75"/>
      <c r="P15" s="75"/>
      <c r="Q15" s="75"/>
      <c r="R15" s="75"/>
      <c r="S15" s="448"/>
    </row>
    <row r="16" spans="1:19" ht="17.25" customHeight="1" x14ac:dyDescent="0.2">
      <c r="A16" s="172" t="s">
        <v>521</v>
      </c>
      <c r="B16" s="134" t="s">
        <v>266</v>
      </c>
      <c r="C16" s="114">
        <v>3600</v>
      </c>
      <c r="D16" s="97">
        <v>8084</v>
      </c>
      <c r="E16" s="98"/>
      <c r="F16" s="97"/>
      <c r="G16" s="98"/>
      <c r="H16" s="421"/>
      <c r="I16" s="180"/>
      <c r="J16" s="180"/>
      <c r="K16" s="177">
        <f t="shared" si="0"/>
        <v>11684</v>
      </c>
      <c r="M16" s="75"/>
      <c r="N16" s="75"/>
      <c r="O16" s="75"/>
      <c r="P16" s="75"/>
      <c r="Q16" s="75"/>
      <c r="R16" s="75"/>
      <c r="S16" s="448"/>
    </row>
    <row r="17" spans="1:19" ht="17.25" customHeight="1" x14ac:dyDescent="0.2">
      <c r="A17" s="172" t="s">
        <v>522</v>
      </c>
      <c r="B17" s="134" t="s">
        <v>267</v>
      </c>
      <c r="C17" s="114"/>
      <c r="D17" s="97">
        <v>10160</v>
      </c>
      <c r="E17" s="98"/>
      <c r="F17" s="97"/>
      <c r="G17" s="98"/>
      <c r="H17" s="421"/>
      <c r="I17" s="180"/>
      <c r="J17" s="180"/>
      <c r="K17" s="177">
        <f t="shared" si="0"/>
        <v>10160</v>
      </c>
      <c r="M17" s="75"/>
      <c r="N17" s="75"/>
      <c r="O17" s="75"/>
      <c r="P17" s="75"/>
      <c r="Q17" s="75"/>
      <c r="R17" s="75"/>
      <c r="S17" s="448"/>
    </row>
    <row r="18" spans="1:19" ht="17.25" customHeight="1" x14ac:dyDescent="0.2">
      <c r="A18" s="172" t="s">
        <v>523</v>
      </c>
      <c r="B18" s="134" t="s">
        <v>268</v>
      </c>
      <c r="C18" s="114">
        <v>183</v>
      </c>
      <c r="D18" s="97"/>
      <c r="E18" s="98"/>
      <c r="F18" s="97"/>
      <c r="G18" s="98"/>
      <c r="H18" s="421"/>
      <c r="I18" s="180"/>
      <c r="J18" s="180"/>
      <c r="K18" s="177">
        <f t="shared" si="0"/>
        <v>183</v>
      </c>
      <c r="M18" s="75"/>
      <c r="N18" s="75"/>
      <c r="O18" s="75"/>
      <c r="P18" s="75"/>
      <c r="Q18" s="75"/>
      <c r="R18" s="75"/>
      <c r="S18" s="448"/>
    </row>
    <row r="19" spans="1:19" ht="17.25" customHeight="1" x14ac:dyDescent="0.2">
      <c r="A19" s="172" t="s">
        <v>565</v>
      </c>
      <c r="B19" s="137" t="s">
        <v>269</v>
      </c>
      <c r="C19" s="114">
        <v>1288</v>
      </c>
      <c r="D19" s="97">
        <v>2062</v>
      </c>
      <c r="E19" s="98"/>
      <c r="F19" s="97"/>
      <c r="G19" s="98">
        <f>'tám, végl. pe.átv  '!C39</f>
        <v>0</v>
      </c>
      <c r="H19" s="375"/>
      <c r="J19" s="96">
        <v>0</v>
      </c>
      <c r="K19" s="177">
        <f>SUM(C19:J19)</f>
        <v>3350</v>
      </c>
      <c r="M19" s="75"/>
      <c r="N19" s="75"/>
      <c r="O19" s="75"/>
      <c r="P19" s="75"/>
      <c r="Q19" s="75"/>
      <c r="R19" s="75"/>
      <c r="S19" s="448"/>
    </row>
    <row r="20" spans="1:19" ht="17.25" customHeight="1" x14ac:dyDescent="0.2">
      <c r="A20" s="172" t="s">
        <v>566</v>
      </c>
      <c r="B20" s="134" t="s">
        <v>292</v>
      </c>
      <c r="C20" s="114">
        <v>25</v>
      </c>
      <c r="D20" s="97"/>
      <c r="E20" s="98"/>
      <c r="F20" s="97"/>
      <c r="G20" s="402">
        <v>447</v>
      </c>
      <c r="H20" s="422"/>
      <c r="I20" s="238"/>
      <c r="J20" s="238"/>
      <c r="K20" s="177">
        <f t="shared" si="0"/>
        <v>472</v>
      </c>
      <c r="M20" s="75"/>
      <c r="N20" s="75"/>
      <c r="O20" s="75"/>
      <c r="P20" s="75"/>
      <c r="Q20" s="75"/>
      <c r="R20" s="75"/>
      <c r="S20" s="448"/>
    </row>
    <row r="21" spans="1:19" s="77" customFormat="1" ht="17.25" customHeight="1" x14ac:dyDescent="0.2">
      <c r="A21" s="172" t="s">
        <v>567</v>
      </c>
      <c r="B21" s="134" t="s">
        <v>293</v>
      </c>
      <c r="C21" s="114"/>
      <c r="D21" s="97"/>
      <c r="E21" s="98"/>
      <c r="F21" s="97"/>
      <c r="G21" s="402">
        <f>'tám, végl. pe.átv  '!C11</f>
        <v>722724</v>
      </c>
      <c r="H21" s="390">
        <f>'tám, végl. pe.átv  '!D11</f>
        <v>93769</v>
      </c>
      <c r="I21" s="225"/>
      <c r="J21" s="225"/>
      <c r="K21" s="177">
        <f t="shared" si="0"/>
        <v>816493</v>
      </c>
      <c r="L21" s="238"/>
      <c r="S21" s="462"/>
    </row>
    <row r="22" spans="1:19" ht="17.25" customHeight="1" x14ac:dyDescent="0.2">
      <c r="A22" s="172" t="s">
        <v>568</v>
      </c>
      <c r="B22" s="134" t="s">
        <v>294</v>
      </c>
      <c r="C22" s="114"/>
      <c r="D22" s="97"/>
      <c r="E22" s="98"/>
      <c r="F22" s="97"/>
      <c r="G22" s="402">
        <f>'tám, végl. pe.átv  '!C19</f>
        <v>0</v>
      </c>
      <c r="H22" s="422"/>
      <c r="I22" s="238"/>
      <c r="J22" s="238"/>
      <c r="K22" s="177">
        <f t="shared" si="0"/>
        <v>0</v>
      </c>
      <c r="M22" s="75"/>
      <c r="N22" s="75"/>
      <c r="O22" s="75"/>
      <c r="P22" s="75"/>
      <c r="Q22" s="75"/>
      <c r="R22" s="75"/>
      <c r="S22" s="448"/>
    </row>
    <row r="23" spans="1:19" ht="17.25" customHeight="1" x14ac:dyDescent="0.2">
      <c r="A23" s="172" t="s">
        <v>569</v>
      </c>
      <c r="B23" s="134" t="s">
        <v>306</v>
      </c>
      <c r="C23" s="114"/>
      <c r="D23" s="97"/>
      <c r="E23" s="98"/>
      <c r="F23" s="97"/>
      <c r="G23" s="402"/>
      <c r="H23" s="390">
        <f>'tám, végl. pe.átv  '!D20</f>
        <v>0</v>
      </c>
      <c r="I23" s="238"/>
      <c r="J23" s="238"/>
      <c r="K23" s="177">
        <f t="shared" si="0"/>
        <v>0</v>
      </c>
      <c r="M23" s="75"/>
      <c r="N23" s="75"/>
      <c r="O23" s="75"/>
      <c r="P23" s="75"/>
      <c r="Q23" s="75"/>
      <c r="R23" s="75"/>
      <c r="S23" s="448"/>
    </row>
    <row r="24" spans="1:19" ht="17.25" customHeight="1" x14ac:dyDescent="0.2">
      <c r="A24" s="172" t="s">
        <v>570</v>
      </c>
      <c r="B24" s="134" t="s">
        <v>307</v>
      </c>
      <c r="C24" s="114"/>
      <c r="D24" s="97"/>
      <c r="E24" s="98"/>
      <c r="F24" s="97"/>
      <c r="G24" s="402">
        <v>1300</v>
      </c>
      <c r="H24" s="422"/>
      <c r="I24" s="238"/>
      <c r="J24" s="238"/>
      <c r="K24" s="177">
        <f t="shared" si="0"/>
        <v>1300</v>
      </c>
      <c r="M24" s="75"/>
      <c r="N24" s="75"/>
      <c r="O24" s="75"/>
      <c r="P24" s="75"/>
      <c r="Q24" s="75"/>
      <c r="R24" s="75"/>
      <c r="S24" s="448"/>
    </row>
    <row r="25" spans="1:19" ht="17.25" customHeight="1" x14ac:dyDescent="0.2">
      <c r="A25" s="172" t="s">
        <v>571</v>
      </c>
      <c r="B25" s="134" t="s">
        <v>295</v>
      </c>
      <c r="C25" s="114"/>
      <c r="D25" s="97"/>
      <c r="E25" s="98"/>
      <c r="F25" s="97"/>
      <c r="G25" s="402">
        <v>14203</v>
      </c>
      <c r="H25" s="390"/>
      <c r="I25" s="225"/>
      <c r="J25" s="225"/>
      <c r="K25" s="177">
        <f t="shared" si="0"/>
        <v>14203</v>
      </c>
      <c r="M25" s="75"/>
      <c r="N25" s="75"/>
      <c r="O25" s="75"/>
      <c r="P25" s="75"/>
      <c r="Q25" s="75"/>
      <c r="R25" s="75"/>
      <c r="S25" s="448"/>
    </row>
    <row r="26" spans="1:19" ht="17.25" customHeight="1" x14ac:dyDescent="0.2">
      <c r="A26" s="172" t="s">
        <v>572</v>
      </c>
      <c r="B26" s="134" t="s">
        <v>271</v>
      </c>
      <c r="C26" s="114"/>
      <c r="E26" s="98">
        <f>'közhatalmi bevételek'!D13</f>
        <v>511687</v>
      </c>
      <c r="F26" s="97">
        <f>'közhatalmi bevételek'!E13</f>
        <v>692313</v>
      </c>
      <c r="G26" s="98"/>
      <c r="H26" s="421"/>
      <c r="I26" s="180"/>
      <c r="J26" s="180"/>
      <c r="K26" s="177">
        <f t="shared" si="0"/>
        <v>1204000</v>
      </c>
      <c r="M26" s="75"/>
      <c r="N26" s="75"/>
      <c r="O26" s="75"/>
      <c r="P26" s="75"/>
      <c r="Q26" s="75"/>
      <c r="R26" s="75"/>
      <c r="S26" s="448"/>
    </row>
    <row r="27" spans="1:19" ht="17.25" customHeight="1" x14ac:dyDescent="0.2">
      <c r="A27" s="172" t="s">
        <v>574</v>
      </c>
      <c r="B27" s="137" t="s">
        <v>573</v>
      </c>
      <c r="C27" s="114"/>
      <c r="E27" s="98"/>
      <c r="F27" s="97"/>
      <c r="G27" s="98"/>
      <c r="H27" s="421"/>
      <c r="I27" s="180"/>
      <c r="J27" s="180"/>
      <c r="K27" s="177">
        <f t="shared" si="0"/>
        <v>0</v>
      </c>
      <c r="M27" s="75"/>
      <c r="N27" s="75"/>
      <c r="O27" s="75"/>
      <c r="P27" s="75"/>
      <c r="Q27" s="75"/>
      <c r="R27" s="75"/>
      <c r="S27" s="448"/>
    </row>
    <row r="28" spans="1:19" ht="17.25" customHeight="1" x14ac:dyDescent="0.2">
      <c r="A28" s="172" t="s">
        <v>575</v>
      </c>
      <c r="B28" s="134" t="s">
        <v>296</v>
      </c>
      <c r="C28" s="114"/>
      <c r="E28" s="98">
        <f>'közhatalmi bevételek'!D20</f>
        <v>17000</v>
      </c>
      <c r="F28" s="97"/>
      <c r="G28" s="98"/>
      <c r="H28" s="421"/>
      <c r="I28" s="180"/>
      <c r="J28" s="180"/>
      <c r="K28" s="177">
        <f t="shared" si="0"/>
        <v>17000</v>
      </c>
      <c r="M28" s="75"/>
      <c r="N28" s="75"/>
      <c r="O28" s="75"/>
      <c r="P28" s="75"/>
      <c r="Q28" s="75"/>
      <c r="R28" s="75"/>
      <c r="S28" s="448"/>
    </row>
    <row r="29" spans="1:19" s="77" customFormat="1" ht="17.25" customHeight="1" x14ac:dyDescent="0.2">
      <c r="A29" s="172" t="s">
        <v>576</v>
      </c>
      <c r="B29" s="134" t="s">
        <v>272</v>
      </c>
      <c r="C29" s="114"/>
      <c r="D29" s="99"/>
      <c r="E29" s="402">
        <f>'közhatalmi bevételek'!D15</f>
        <v>4500</v>
      </c>
      <c r="F29" s="97">
        <f>'közhatalmi bevételek'!E15</f>
        <v>0</v>
      </c>
      <c r="G29" s="114"/>
      <c r="H29" s="421"/>
      <c r="I29" s="180"/>
      <c r="J29" s="180"/>
      <c r="K29" s="177">
        <f t="shared" si="0"/>
        <v>4500</v>
      </c>
      <c r="L29" s="238"/>
      <c r="S29" s="462"/>
    </row>
    <row r="30" spans="1:19" ht="17.25" customHeight="1" x14ac:dyDescent="0.2">
      <c r="A30" s="172" t="s">
        <v>577</v>
      </c>
      <c r="B30" s="134" t="s">
        <v>273</v>
      </c>
      <c r="C30" s="114"/>
      <c r="D30" s="97"/>
      <c r="E30" s="402">
        <f>'közhatalmi bevételek'!D25</f>
        <v>820</v>
      </c>
      <c r="F30" s="97"/>
      <c r="G30" s="98"/>
      <c r="H30" s="421"/>
      <c r="I30" s="180"/>
      <c r="J30" s="180"/>
      <c r="K30" s="177">
        <f t="shared" si="0"/>
        <v>820</v>
      </c>
      <c r="M30" s="75"/>
      <c r="N30" s="75"/>
      <c r="O30" s="75"/>
      <c r="P30" s="75"/>
      <c r="Q30" s="75"/>
      <c r="R30" s="75"/>
      <c r="S30" s="448"/>
    </row>
    <row r="31" spans="1:19" ht="17.25" customHeight="1" x14ac:dyDescent="0.2">
      <c r="A31" s="172" t="s">
        <v>578</v>
      </c>
      <c r="B31" s="134" t="s">
        <v>274</v>
      </c>
      <c r="C31" s="114"/>
      <c r="D31" s="97"/>
      <c r="E31" s="98"/>
      <c r="F31" s="97"/>
      <c r="G31" s="98"/>
      <c r="H31" s="421"/>
      <c r="I31" s="180"/>
      <c r="J31" s="180"/>
      <c r="K31" s="177">
        <f t="shared" si="0"/>
        <v>0</v>
      </c>
      <c r="M31" s="75"/>
      <c r="N31" s="75"/>
      <c r="O31" s="75"/>
      <c r="P31" s="75"/>
      <c r="Q31" s="75"/>
      <c r="R31" s="75"/>
      <c r="S31" s="448"/>
    </row>
    <row r="32" spans="1:19" ht="17.25" customHeight="1" x14ac:dyDescent="0.2">
      <c r="A32" s="172" t="s">
        <v>580</v>
      </c>
      <c r="B32" s="134" t="s">
        <v>275</v>
      </c>
      <c r="C32" s="114">
        <v>140</v>
      </c>
      <c r="D32" s="97">
        <v>46</v>
      </c>
      <c r="E32" s="98"/>
      <c r="F32" s="97"/>
      <c r="G32" s="98"/>
      <c r="H32" s="421"/>
      <c r="I32" s="180"/>
      <c r="J32" s="180"/>
      <c r="K32" s="177">
        <f t="shared" si="0"/>
        <v>186</v>
      </c>
      <c r="M32" s="75"/>
      <c r="N32" s="75"/>
      <c r="O32" s="75"/>
      <c r="P32" s="75"/>
      <c r="Q32" s="75"/>
      <c r="R32" s="75"/>
      <c r="S32" s="448"/>
    </row>
    <row r="33" spans="1:19" ht="17.25" customHeight="1" x14ac:dyDescent="0.2">
      <c r="A33" s="172" t="s">
        <v>581</v>
      </c>
      <c r="B33" s="173" t="s">
        <v>276</v>
      </c>
      <c r="C33" s="181"/>
      <c r="D33" s="176"/>
      <c r="E33" s="175"/>
      <c r="F33" s="176"/>
      <c r="G33" s="403">
        <v>5065</v>
      </c>
      <c r="H33" s="421"/>
      <c r="I33" s="180"/>
      <c r="J33" s="180"/>
      <c r="K33" s="177">
        <f t="shared" si="0"/>
        <v>5065</v>
      </c>
      <c r="M33" s="75"/>
      <c r="N33" s="75"/>
      <c r="O33" s="75"/>
      <c r="P33" s="75"/>
      <c r="Q33" s="75"/>
      <c r="R33" s="75"/>
      <c r="S33" s="448"/>
    </row>
    <row r="34" spans="1:19" ht="17.25" customHeight="1" x14ac:dyDescent="0.2">
      <c r="A34" s="172" t="s">
        <v>601</v>
      </c>
      <c r="B34" s="173" t="s">
        <v>277</v>
      </c>
      <c r="C34" s="181"/>
      <c r="D34" s="176"/>
      <c r="E34" s="175"/>
      <c r="F34" s="176"/>
      <c r="G34" s="403">
        <v>0</v>
      </c>
      <c r="H34" s="421"/>
      <c r="I34" s="180"/>
      <c r="J34" s="180"/>
      <c r="K34" s="177">
        <f t="shared" si="0"/>
        <v>0</v>
      </c>
      <c r="M34" s="75"/>
      <c r="N34" s="75"/>
      <c r="O34" s="75"/>
      <c r="P34" s="75"/>
      <c r="Q34" s="75"/>
      <c r="R34" s="75"/>
      <c r="S34" s="448"/>
    </row>
    <row r="35" spans="1:19" ht="17.25" customHeight="1" x14ac:dyDescent="0.2">
      <c r="A35" s="172" t="s">
        <v>602</v>
      </c>
      <c r="B35" s="173" t="s">
        <v>278</v>
      </c>
      <c r="C35" s="181"/>
      <c r="D35" s="176"/>
      <c r="E35" s="175"/>
      <c r="F35" s="176"/>
      <c r="G35" s="403">
        <v>455</v>
      </c>
      <c r="H35" s="421"/>
      <c r="I35" s="180"/>
      <c r="J35" s="180"/>
      <c r="K35" s="177">
        <f t="shared" si="0"/>
        <v>455</v>
      </c>
      <c r="M35" s="75"/>
      <c r="N35" s="75"/>
      <c r="O35" s="75"/>
      <c r="P35" s="75"/>
      <c r="Q35" s="75"/>
      <c r="R35" s="75"/>
      <c r="S35" s="448"/>
    </row>
    <row r="36" spans="1:19" ht="17.25" customHeight="1" x14ac:dyDescent="0.2">
      <c r="A36" s="172" t="s">
        <v>603</v>
      </c>
      <c r="B36" s="173" t="s">
        <v>585</v>
      </c>
      <c r="C36" s="181"/>
      <c r="D36" s="176"/>
      <c r="E36" s="175"/>
      <c r="F36" s="176"/>
      <c r="G36" s="403">
        <v>500</v>
      </c>
      <c r="H36" s="421"/>
      <c r="I36" s="180"/>
      <c r="J36" s="180"/>
      <c r="K36" s="177">
        <f t="shared" si="0"/>
        <v>500</v>
      </c>
      <c r="M36" s="75"/>
      <c r="N36" s="75"/>
      <c r="O36" s="75"/>
      <c r="P36" s="75"/>
      <c r="Q36" s="75"/>
      <c r="R36" s="75"/>
      <c r="S36" s="448"/>
    </row>
    <row r="37" spans="1:19" ht="17.25" customHeight="1" x14ac:dyDescent="0.2">
      <c r="A37" s="172" t="s">
        <v>604</v>
      </c>
      <c r="B37" s="173" t="s">
        <v>279</v>
      </c>
      <c r="C37" s="181"/>
      <c r="D37" s="176"/>
      <c r="E37" s="175"/>
      <c r="F37" s="176"/>
      <c r="G37" s="403">
        <v>2032</v>
      </c>
      <c r="H37" s="421"/>
      <c r="I37" s="180"/>
      <c r="J37" s="180"/>
      <c r="K37" s="177">
        <f t="shared" si="0"/>
        <v>2032</v>
      </c>
      <c r="M37" s="75"/>
      <c r="N37" s="75"/>
      <c r="O37" s="75"/>
      <c r="P37" s="75"/>
      <c r="Q37" s="75"/>
      <c r="R37" s="75"/>
      <c r="S37" s="448"/>
    </row>
    <row r="38" spans="1:19" ht="17.25" customHeight="1" x14ac:dyDescent="0.2">
      <c r="A38" s="172" t="s">
        <v>605</v>
      </c>
      <c r="B38" s="173" t="s">
        <v>280</v>
      </c>
      <c r="C38" s="181"/>
      <c r="D38" s="405">
        <v>2286</v>
      </c>
      <c r="E38" s="181"/>
      <c r="F38" s="176"/>
      <c r="G38" s="404"/>
      <c r="H38" s="375"/>
      <c r="K38" s="177">
        <f t="shared" si="0"/>
        <v>2286</v>
      </c>
      <c r="M38" s="75"/>
      <c r="N38" s="75"/>
      <c r="O38" s="75"/>
      <c r="P38" s="75"/>
      <c r="Q38" s="75"/>
      <c r="R38" s="75"/>
      <c r="S38" s="448"/>
    </row>
    <row r="39" spans="1:19" ht="17.25" customHeight="1" thickBot="1" x14ac:dyDescent="0.25">
      <c r="A39" s="172" t="s">
        <v>606</v>
      </c>
      <c r="B39" s="173" t="s">
        <v>281</v>
      </c>
      <c r="C39" s="181"/>
      <c r="D39" s="176"/>
      <c r="E39" s="175"/>
      <c r="F39" s="176"/>
      <c r="G39" s="175"/>
      <c r="H39" s="421"/>
      <c r="I39" s="180"/>
      <c r="J39" s="180"/>
      <c r="K39" s="177">
        <f t="shared" si="0"/>
        <v>0</v>
      </c>
      <c r="M39" s="75"/>
      <c r="N39" s="75"/>
      <c r="O39" s="75"/>
      <c r="P39" s="75"/>
      <c r="Q39" s="75"/>
      <c r="R39" s="75"/>
      <c r="S39" s="448"/>
    </row>
    <row r="40" spans="1:19" ht="17.25" customHeight="1" thickBot="1" x14ac:dyDescent="0.25">
      <c r="A40" s="1435" t="s">
        <v>610</v>
      </c>
      <c r="B40" s="1436"/>
      <c r="C40" s="284">
        <f>SUM(C10:C39)</f>
        <v>40369</v>
      </c>
      <c r="D40" s="284">
        <f>SUM(D10:D39)</f>
        <v>43113</v>
      </c>
      <c r="E40" s="436">
        <f>SUM(E10:E39)</f>
        <v>543007</v>
      </c>
      <c r="F40" s="437">
        <f>SUM(F10:F39)</f>
        <v>692313</v>
      </c>
      <c r="G40" s="284">
        <f>SUM(G10:G39)</f>
        <v>746726</v>
      </c>
      <c r="H40" s="423">
        <f>SUM(H12:H39)</f>
        <v>93769</v>
      </c>
      <c r="I40" s="423">
        <f>SUM(I12:I39)</f>
        <v>0</v>
      </c>
      <c r="J40" s="423">
        <f>SUM(J12:J39)</f>
        <v>0</v>
      </c>
      <c r="K40" s="285">
        <f>SUM(C40:J40)</f>
        <v>2159297</v>
      </c>
      <c r="M40" s="75"/>
      <c r="N40" s="75"/>
      <c r="O40" s="75"/>
      <c r="P40" s="75"/>
      <c r="Q40" s="75"/>
      <c r="R40" s="75"/>
      <c r="S40" s="448"/>
    </row>
    <row r="41" spans="1:19" ht="17.25" customHeight="1" x14ac:dyDescent="0.2">
      <c r="M41" s="75"/>
      <c r="N41" s="75"/>
      <c r="O41" s="75"/>
      <c r="P41" s="75"/>
      <c r="Q41" s="75"/>
      <c r="R41" s="75"/>
      <c r="S41" s="448"/>
    </row>
    <row r="42" spans="1:19" ht="17.25" customHeight="1" x14ac:dyDescent="0.2">
      <c r="M42" s="75"/>
      <c r="N42" s="75"/>
      <c r="O42" s="75"/>
      <c r="P42" s="75"/>
      <c r="Q42" s="75"/>
      <c r="R42" s="75"/>
      <c r="S42" s="448"/>
    </row>
    <row r="43" spans="1:19" ht="17.25" customHeight="1" x14ac:dyDescent="0.2">
      <c r="M43" s="75"/>
      <c r="N43" s="75"/>
      <c r="O43" s="75"/>
      <c r="P43" s="75"/>
      <c r="Q43" s="75"/>
      <c r="R43" s="75"/>
      <c r="S43" s="448"/>
    </row>
    <row r="44" spans="1:19" ht="17.25" customHeight="1" x14ac:dyDescent="0.2">
      <c r="M44" s="75"/>
      <c r="N44" s="75"/>
      <c r="O44" s="75"/>
      <c r="P44" s="75"/>
      <c r="Q44" s="75"/>
      <c r="R44" s="75"/>
      <c r="S44" s="448"/>
    </row>
    <row r="45" spans="1:19" ht="17.25" customHeight="1" x14ac:dyDescent="0.2">
      <c r="M45" s="75"/>
      <c r="N45" s="75"/>
      <c r="O45" s="75"/>
      <c r="P45" s="75"/>
      <c r="Q45" s="75"/>
      <c r="R45" s="75"/>
      <c r="S45" s="448"/>
    </row>
    <row r="46" spans="1:19" ht="17.25" customHeight="1" x14ac:dyDescent="0.2">
      <c r="M46" s="75"/>
      <c r="N46" s="75"/>
      <c r="O46" s="75"/>
      <c r="P46" s="75"/>
      <c r="Q46" s="75"/>
      <c r="R46" s="75"/>
      <c r="S46" s="448"/>
    </row>
    <row r="47" spans="1:19" ht="17.25" customHeight="1" x14ac:dyDescent="0.2">
      <c r="M47" s="75"/>
      <c r="N47" s="75"/>
      <c r="O47" s="75"/>
      <c r="P47" s="75"/>
      <c r="Q47" s="75"/>
      <c r="R47" s="75"/>
      <c r="S47" s="448"/>
    </row>
    <row r="48" spans="1:19" ht="17.25" customHeight="1" x14ac:dyDescent="0.2">
      <c r="M48" s="75"/>
      <c r="N48" s="75"/>
      <c r="O48" s="75"/>
      <c r="P48" s="75"/>
      <c r="Q48" s="75"/>
      <c r="R48" s="75"/>
      <c r="S48" s="448"/>
    </row>
    <row r="49" spans="2:24" ht="17.25" customHeight="1" x14ac:dyDescent="0.2">
      <c r="M49" s="75"/>
      <c r="N49" s="75"/>
      <c r="O49" s="75"/>
      <c r="P49" s="75"/>
      <c r="Q49" s="75"/>
      <c r="R49" s="75"/>
      <c r="S49" s="448"/>
    </row>
    <row r="50" spans="2:24" ht="17.25" customHeight="1" x14ac:dyDescent="0.2">
      <c r="M50" s="75"/>
      <c r="N50" s="75"/>
      <c r="O50" s="75"/>
      <c r="P50" s="75"/>
      <c r="Q50" s="75"/>
      <c r="R50" s="75"/>
      <c r="S50" s="448"/>
    </row>
    <row r="51" spans="2:24" ht="17.25" customHeight="1" x14ac:dyDescent="0.2">
      <c r="M51" s="75"/>
      <c r="N51" s="75"/>
      <c r="O51" s="75"/>
      <c r="P51" s="75"/>
      <c r="Q51" s="75"/>
      <c r="R51" s="75"/>
      <c r="S51" s="448"/>
    </row>
    <row r="52" spans="2:24" ht="17.25" customHeight="1" x14ac:dyDescent="0.2">
      <c r="M52" s="75"/>
      <c r="N52" s="75"/>
      <c r="O52" s="75"/>
      <c r="P52" s="75"/>
      <c r="Q52" s="75"/>
      <c r="R52" s="75"/>
      <c r="S52" s="448"/>
    </row>
    <row r="53" spans="2:24" ht="17.25" customHeight="1" x14ac:dyDescent="0.2">
      <c r="M53" s="75"/>
      <c r="N53" s="75"/>
      <c r="O53" s="75"/>
      <c r="P53" s="75"/>
      <c r="Q53" s="75"/>
      <c r="R53" s="75"/>
      <c r="S53" s="448"/>
    </row>
    <row r="54" spans="2:24" ht="17.25" customHeight="1" x14ac:dyDescent="0.2">
      <c r="M54" s="75"/>
      <c r="N54" s="75"/>
      <c r="O54" s="75"/>
      <c r="P54" s="75"/>
      <c r="Q54" s="75"/>
      <c r="R54" s="75"/>
      <c r="S54" s="448"/>
    </row>
    <row r="55" spans="2:24" ht="17.25" customHeight="1" x14ac:dyDescent="0.2">
      <c r="M55" s="75"/>
      <c r="N55" s="75"/>
      <c r="O55" s="75"/>
      <c r="P55" s="75"/>
      <c r="Q55" s="75"/>
      <c r="R55" s="75"/>
      <c r="S55" s="448"/>
    </row>
    <row r="56" spans="2:24" ht="17.25" customHeight="1" x14ac:dyDescent="0.2">
      <c r="M56" s="75"/>
      <c r="N56" s="75"/>
      <c r="O56" s="75"/>
      <c r="P56" s="75"/>
      <c r="Q56" s="75"/>
      <c r="R56" s="75"/>
      <c r="S56" s="448"/>
    </row>
    <row r="57" spans="2:24" ht="17.25" customHeight="1" x14ac:dyDescent="0.2">
      <c r="M57" s="75"/>
      <c r="N57" s="75"/>
      <c r="O57" s="75"/>
      <c r="P57" s="75"/>
      <c r="Q57" s="75"/>
      <c r="R57" s="75"/>
      <c r="S57" s="448"/>
    </row>
    <row r="58" spans="2:24" ht="17.25" customHeight="1" x14ac:dyDescent="0.2">
      <c r="M58" s="75"/>
      <c r="N58" s="75"/>
      <c r="O58" s="75"/>
      <c r="P58" s="75"/>
      <c r="Q58" s="75"/>
      <c r="R58" s="75"/>
      <c r="S58" s="448"/>
    </row>
    <row r="64" spans="2:24" ht="17.25" customHeight="1" x14ac:dyDescent="0.2">
      <c r="B64" s="1412" t="s">
        <v>586</v>
      </c>
      <c r="C64" s="1341"/>
      <c r="D64" s="1341"/>
      <c r="E64" s="1341"/>
      <c r="F64" s="1341"/>
      <c r="G64" s="1341"/>
      <c r="H64" s="1341"/>
      <c r="I64" s="1341"/>
      <c r="J64" s="1341"/>
      <c r="K64" s="1341"/>
      <c r="L64" s="1341"/>
      <c r="M64" s="1341"/>
      <c r="N64" s="1341"/>
      <c r="O64" s="1341"/>
      <c r="P64" s="1341"/>
      <c r="Q64" s="1341"/>
      <c r="R64" s="1341"/>
      <c r="W64" s="76"/>
      <c r="X64" s="76"/>
    </row>
    <row r="65" spans="1:23" ht="17.25" customHeight="1" x14ac:dyDescent="0.2">
      <c r="D65" s="94"/>
      <c r="E65" s="94"/>
      <c r="F65" s="94"/>
      <c r="G65" s="94"/>
      <c r="H65" s="94"/>
      <c r="I65" s="94"/>
      <c r="J65" s="94"/>
      <c r="K65" s="94"/>
      <c r="W65" s="76"/>
    </row>
    <row r="66" spans="1:23" ht="17.25" customHeight="1" x14ac:dyDescent="0.2">
      <c r="A66" s="1308" t="s">
        <v>562</v>
      </c>
      <c r="B66" s="1341"/>
      <c r="C66" s="1341"/>
      <c r="D66" s="1341"/>
      <c r="E66" s="1341"/>
      <c r="F66" s="1341"/>
      <c r="G66" s="1341"/>
      <c r="H66" s="1341"/>
      <c r="I66" s="1341"/>
      <c r="J66" s="1341"/>
      <c r="K66" s="1341"/>
      <c r="L66" s="1341"/>
      <c r="M66" s="1341"/>
      <c r="N66" s="1341"/>
      <c r="O66" s="1341"/>
      <c r="P66" s="1341"/>
      <c r="Q66" s="1341"/>
      <c r="R66" s="1341"/>
    </row>
    <row r="67" spans="1:23" ht="17.25" customHeight="1" x14ac:dyDescent="0.2">
      <c r="A67" s="1308" t="s">
        <v>309</v>
      </c>
      <c r="B67" s="1341"/>
      <c r="C67" s="1341"/>
      <c r="D67" s="1341"/>
      <c r="E67" s="1341"/>
      <c r="F67" s="1341"/>
      <c r="G67" s="1341"/>
      <c r="H67" s="1341"/>
      <c r="I67" s="1341"/>
      <c r="J67" s="1341"/>
      <c r="K67" s="1341"/>
      <c r="L67" s="1341"/>
      <c r="M67" s="1341"/>
      <c r="N67" s="1341"/>
      <c r="O67" s="1341"/>
      <c r="P67" s="1341"/>
      <c r="Q67" s="1341"/>
      <c r="R67" s="1341"/>
    </row>
    <row r="68" spans="1:23" ht="17.25" customHeight="1" x14ac:dyDescent="0.2">
      <c r="B68" s="167"/>
      <c r="C68" s="168"/>
      <c r="D68" s="168"/>
      <c r="E68" s="168"/>
      <c r="F68" s="168"/>
      <c r="G68" s="168"/>
      <c r="H68" s="168"/>
      <c r="I68" s="168"/>
      <c r="J68" s="168"/>
      <c r="K68" s="168"/>
    </row>
    <row r="69" spans="1:23" ht="12.75" customHeight="1" thickBot="1" x14ac:dyDescent="0.25">
      <c r="A69" s="1433" t="s">
        <v>321</v>
      </c>
      <c r="B69" s="1374"/>
      <c r="C69" s="1374"/>
      <c r="D69" s="1374"/>
      <c r="E69" s="1374"/>
      <c r="F69" s="1374"/>
      <c r="G69" s="1374"/>
      <c r="H69" s="1374"/>
      <c r="I69" s="1374"/>
      <c r="J69" s="1374"/>
      <c r="K69" s="1374"/>
      <c r="L69" s="1434"/>
      <c r="M69" s="1434"/>
      <c r="N69" s="1434"/>
      <c r="O69" s="1434"/>
      <c r="P69" s="1434"/>
      <c r="Q69" s="1434"/>
      <c r="R69" s="1434"/>
    </row>
    <row r="70" spans="1:23" s="95" customFormat="1" ht="11.25" customHeight="1" x14ac:dyDescent="0.2">
      <c r="A70" s="1443" t="s">
        <v>498</v>
      </c>
      <c r="B70" s="1437" t="s">
        <v>86</v>
      </c>
      <c r="C70" s="1427" t="s">
        <v>57</v>
      </c>
      <c r="D70" s="1432"/>
      <c r="E70" s="1432" t="s">
        <v>58</v>
      </c>
      <c r="F70" s="1432"/>
      <c r="G70" s="1432" t="s">
        <v>59</v>
      </c>
      <c r="H70" s="1432"/>
      <c r="I70" s="1426"/>
      <c r="J70" s="1427"/>
      <c r="K70" s="249" t="s">
        <v>60</v>
      </c>
      <c r="L70" s="1425" t="s">
        <v>499</v>
      </c>
      <c r="M70" s="1415"/>
      <c r="N70" s="1415" t="s">
        <v>500</v>
      </c>
      <c r="O70" s="1415"/>
      <c r="P70" s="1415" t="s">
        <v>501</v>
      </c>
      <c r="Q70" s="1415"/>
      <c r="R70" s="245" t="s">
        <v>629</v>
      </c>
      <c r="S70" s="459"/>
    </row>
    <row r="71" spans="1:23" ht="31.5" customHeight="1" x14ac:dyDescent="0.2">
      <c r="A71" s="1444"/>
      <c r="B71" s="1438"/>
      <c r="C71" s="1428" t="s">
        <v>587</v>
      </c>
      <c r="D71" s="1421"/>
      <c r="E71" s="1421"/>
      <c r="F71" s="1421"/>
      <c r="G71" s="1421"/>
      <c r="H71" s="1421"/>
      <c r="I71" s="1421"/>
      <c r="J71" s="1421"/>
      <c r="K71" s="1431"/>
      <c r="L71" s="1428" t="s">
        <v>545</v>
      </c>
      <c r="M71" s="1429"/>
      <c r="N71" s="1429"/>
      <c r="O71" s="1429"/>
      <c r="P71" s="1429"/>
      <c r="Q71" s="1429"/>
      <c r="R71" s="1430"/>
    </row>
    <row r="72" spans="1:23" ht="36" customHeight="1" thickBot="1" x14ac:dyDescent="0.25">
      <c r="A72" s="1444"/>
      <c r="B72" s="1438"/>
      <c r="C72" s="1440" t="s">
        <v>478</v>
      </c>
      <c r="D72" s="1407"/>
      <c r="E72" s="1407" t="s">
        <v>479</v>
      </c>
      <c r="F72" s="1407"/>
      <c r="G72" s="1407" t="s">
        <v>22</v>
      </c>
      <c r="H72" s="1407"/>
      <c r="I72" s="1408"/>
      <c r="J72" s="1409"/>
      <c r="K72" s="1446" t="s">
        <v>564</v>
      </c>
      <c r="L72" s="1440" t="s">
        <v>478</v>
      </c>
      <c r="M72" s="1407"/>
      <c r="N72" s="1407" t="s">
        <v>479</v>
      </c>
      <c r="O72" s="1407"/>
      <c r="P72" s="1407" t="s">
        <v>22</v>
      </c>
      <c r="Q72" s="1407"/>
      <c r="R72" s="1441" t="s">
        <v>564</v>
      </c>
    </row>
    <row r="73" spans="1:23" ht="35.25" customHeight="1" thickBot="1" x14ac:dyDescent="0.25">
      <c r="A73" s="1444"/>
      <c r="B73" s="1438"/>
      <c r="C73" s="1440"/>
      <c r="D73" s="1407"/>
      <c r="E73" s="1407"/>
      <c r="F73" s="1407"/>
      <c r="G73" s="1407"/>
      <c r="H73" s="1407"/>
      <c r="I73" s="1410"/>
      <c r="J73" s="1411"/>
      <c r="K73" s="1446"/>
      <c r="L73" s="1440"/>
      <c r="M73" s="1407"/>
      <c r="N73" s="1407"/>
      <c r="O73" s="1407"/>
      <c r="P73" s="1407"/>
      <c r="Q73" s="1407"/>
      <c r="R73" s="1441"/>
    </row>
    <row r="74" spans="1:23" ht="32.25" customHeight="1" thickBot="1" x14ac:dyDescent="0.25">
      <c r="A74" s="1445"/>
      <c r="B74" s="1439"/>
      <c r="C74" s="408" t="s">
        <v>62</v>
      </c>
      <c r="D74" s="251" t="s">
        <v>63</v>
      </c>
      <c r="E74" s="250" t="s">
        <v>62</v>
      </c>
      <c r="F74" s="250" t="s">
        <v>63</v>
      </c>
      <c r="G74" s="250" t="s">
        <v>62</v>
      </c>
      <c r="H74" s="250" t="s">
        <v>63</v>
      </c>
      <c r="I74" s="250" t="s">
        <v>62</v>
      </c>
      <c r="J74" s="250" t="s">
        <v>63</v>
      </c>
      <c r="K74" s="1447"/>
      <c r="L74" s="253" t="s">
        <v>62</v>
      </c>
      <c r="M74" s="254" t="s">
        <v>63</v>
      </c>
      <c r="N74" s="248" t="s">
        <v>62</v>
      </c>
      <c r="O74" s="248" t="s">
        <v>63</v>
      </c>
      <c r="P74" s="248" t="s">
        <v>62</v>
      </c>
      <c r="Q74" s="248" t="s">
        <v>63</v>
      </c>
      <c r="R74" s="1442"/>
    </row>
    <row r="75" spans="1:23" ht="17.25" customHeight="1" x14ac:dyDescent="0.2">
      <c r="A75" s="182">
        <v>1</v>
      </c>
      <c r="B75" s="455" t="s">
        <v>590</v>
      </c>
      <c r="C75" s="191">
        <v>10</v>
      </c>
      <c r="D75" s="191">
        <v>0</v>
      </c>
      <c r="E75" s="191"/>
      <c r="F75" s="191"/>
      <c r="G75" s="191"/>
      <c r="H75" s="191"/>
      <c r="I75" s="191"/>
      <c r="J75" s="191"/>
      <c r="K75" s="407">
        <f>SUM(C75:H75)</f>
        <v>10</v>
      </c>
      <c r="L75" s="255">
        <v>20</v>
      </c>
      <c r="M75" s="255">
        <v>188</v>
      </c>
      <c r="N75" s="255"/>
      <c r="O75" s="255"/>
      <c r="P75" s="255"/>
      <c r="Q75" s="255"/>
      <c r="R75" s="256">
        <f>SUM(L75:Q75)</f>
        <v>208</v>
      </c>
    </row>
    <row r="76" spans="1:23" ht="17.25" customHeight="1" x14ac:dyDescent="0.2">
      <c r="A76" s="182">
        <v>2</v>
      </c>
      <c r="B76" s="456" t="s">
        <v>589</v>
      </c>
      <c r="C76" s="191"/>
      <c r="D76" s="191">
        <v>284</v>
      </c>
      <c r="E76" s="191"/>
      <c r="F76" s="191"/>
      <c r="G76" s="191"/>
      <c r="H76" s="191"/>
      <c r="I76" s="191"/>
      <c r="J76" s="191"/>
      <c r="K76" s="430">
        <f>SUM(C76:H76)</f>
        <v>284</v>
      </c>
      <c r="L76" s="191"/>
      <c r="M76" s="191"/>
      <c r="N76" s="191"/>
      <c r="O76" s="191"/>
      <c r="P76" s="191"/>
      <c r="Q76" s="191"/>
      <c r="R76" s="424"/>
    </row>
    <row r="77" spans="1:23" ht="17.25" customHeight="1" x14ac:dyDescent="0.2">
      <c r="A77" s="182">
        <v>3</v>
      </c>
      <c r="B77" s="456" t="s">
        <v>588</v>
      </c>
      <c r="C77" s="191">
        <v>3</v>
      </c>
      <c r="D77" s="191">
        <v>78</v>
      </c>
      <c r="E77" s="191"/>
      <c r="F77" s="191"/>
      <c r="G77" s="191"/>
      <c r="H77" s="191"/>
      <c r="I77" s="191"/>
      <c r="J77" s="191"/>
      <c r="K77" s="430">
        <f>SUM(C77:H77)</f>
        <v>81</v>
      </c>
      <c r="L77" s="191"/>
      <c r="M77" s="191"/>
      <c r="N77" s="191"/>
      <c r="O77" s="191"/>
      <c r="P77" s="191"/>
      <c r="Q77" s="191"/>
      <c r="R77" s="424"/>
    </row>
    <row r="78" spans="1:23" ht="17.25" customHeight="1" x14ac:dyDescent="0.2">
      <c r="A78" s="172">
        <v>4</v>
      </c>
      <c r="B78" s="456" t="s">
        <v>591</v>
      </c>
      <c r="C78" s="454">
        <v>2</v>
      </c>
      <c r="D78" s="252"/>
      <c r="E78" s="252"/>
      <c r="F78" s="252"/>
      <c r="G78" s="252"/>
      <c r="H78" s="252"/>
      <c r="I78" s="252"/>
      <c r="J78" s="252"/>
      <c r="K78" s="430">
        <f>SUM(C78:H78)</f>
        <v>2</v>
      </c>
      <c r="L78" s="257"/>
      <c r="M78" s="257"/>
      <c r="N78" s="257"/>
      <c r="O78" s="257"/>
      <c r="P78" s="257"/>
      <c r="Q78" s="257"/>
      <c r="R78" s="258"/>
    </row>
    <row r="79" spans="1:23" ht="17.25" customHeight="1" thickBot="1" x14ac:dyDescent="0.25">
      <c r="A79" s="431">
        <v>5</v>
      </c>
      <c r="B79" s="457" t="s">
        <v>592</v>
      </c>
      <c r="C79" s="454"/>
      <c r="D79" s="252">
        <v>40</v>
      </c>
      <c r="E79" s="252"/>
      <c r="F79" s="252"/>
      <c r="G79" s="252"/>
      <c r="H79" s="252"/>
      <c r="I79" s="252"/>
      <c r="J79" s="252"/>
      <c r="K79" s="458">
        <f>SUM(C79:J79)</f>
        <v>40</v>
      </c>
      <c r="L79" s="257"/>
      <c r="M79" s="257"/>
      <c r="N79" s="257"/>
      <c r="O79" s="257"/>
      <c r="P79" s="257"/>
      <c r="Q79" s="257"/>
      <c r="R79" s="258"/>
    </row>
    <row r="80" spans="1:23" ht="17.25" customHeight="1" thickBot="1" x14ac:dyDescent="0.25">
      <c r="A80" s="418" t="s">
        <v>282</v>
      </c>
      <c r="B80" s="425"/>
      <c r="C80" s="426">
        <f>SUM(C74:C78)</f>
        <v>15</v>
      </c>
      <c r="D80" s="426">
        <f>SUM(D74:D79)</f>
        <v>402</v>
      </c>
      <c r="E80" s="427">
        <f>SUM(E74)</f>
        <v>0</v>
      </c>
      <c r="F80" s="427">
        <f>SUM(F74)</f>
        <v>0</v>
      </c>
      <c r="G80" s="427">
        <f>SUM(G74)</f>
        <v>0</v>
      </c>
      <c r="H80" s="427">
        <f>SUM(H74:H78)</f>
        <v>0</v>
      </c>
      <c r="I80" s="428"/>
      <c r="J80" s="428"/>
      <c r="K80" s="429">
        <f>SUM(K74:K79)</f>
        <v>417</v>
      </c>
      <c r="L80" s="406">
        <f>SUM(L75:L78)</f>
        <v>20</v>
      </c>
      <c r="M80" s="246">
        <f>SUM(M75:M78)</f>
        <v>188</v>
      </c>
      <c r="N80" s="246"/>
      <c r="O80" s="246"/>
      <c r="P80" s="246"/>
      <c r="Q80" s="246"/>
      <c r="R80" s="259">
        <f>SUM(L80:Q80)</f>
        <v>208</v>
      </c>
      <c r="S80" s="460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T73"/>
  <sheetViews>
    <sheetView topLeftCell="A43" zoomScale="130" zoomScaleNormal="130" workbookViewId="0">
      <selection activeCell="R70" sqref="R70"/>
    </sheetView>
  </sheetViews>
  <sheetFormatPr defaultColWidth="9.140625" defaultRowHeight="10.5" x14ac:dyDescent="0.2"/>
  <cols>
    <col min="1" max="1" width="4.140625" style="75" customWidth="1"/>
    <col min="2" max="2" width="4.85546875" style="277" customWidth="1"/>
    <col min="3" max="3" width="26.7109375" style="281" customWidth="1"/>
    <col min="4" max="6" width="5.85546875" style="282" customWidth="1"/>
    <col min="7" max="9" width="6.7109375" style="283" customWidth="1"/>
    <col min="10" max="12" width="5.85546875" style="283" customWidth="1"/>
    <col min="13" max="15" width="6.42578125" style="283" customWidth="1"/>
    <col min="16" max="18" width="5.28515625" style="283" customWidth="1"/>
    <col min="19" max="21" width="6.42578125" style="283" customWidth="1"/>
    <col min="22" max="24" width="5.7109375" style="283" customWidth="1"/>
    <col min="25" max="27" width="5.5703125" style="283" customWidth="1"/>
    <col min="28" max="30" width="6" style="283" customWidth="1"/>
    <col min="31" max="35" width="5.85546875" style="283" customWidth="1"/>
    <col min="36" max="38" width="4.7109375" style="283" customWidth="1"/>
    <col min="39" max="41" width="5" style="283" customWidth="1"/>
    <col min="42" max="42" width="6.5703125" style="283" bestFit="1" customWidth="1"/>
    <col min="43" max="43" width="9.5703125" style="276" customWidth="1"/>
    <col min="44" max="46" width="9.140625" style="276"/>
    <col min="47" max="16384" width="9.140625" style="75"/>
  </cols>
  <sheetData>
    <row r="1" spans="1:46" ht="12.75" x14ac:dyDescent="0.2">
      <c r="B1" s="1412" t="s">
        <v>1237</v>
      </c>
      <c r="C1" s="1461"/>
      <c r="D1" s="1461"/>
      <c r="E1" s="1461"/>
      <c r="F1" s="1461"/>
      <c r="G1" s="1461"/>
      <c r="H1" s="1461"/>
      <c r="I1" s="1461"/>
      <c r="J1" s="1461"/>
      <c r="K1" s="1461"/>
      <c r="L1" s="1461"/>
      <c r="M1" s="1461"/>
      <c r="N1" s="1461"/>
      <c r="O1" s="1461"/>
      <c r="P1" s="1461"/>
      <c r="Q1" s="1461"/>
      <c r="R1" s="1461"/>
      <c r="S1" s="1461"/>
      <c r="T1" s="1461"/>
      <c r="U1" s="1461"/>
      <c r="V1" s="1461"/>
      <c r="W1" s="1461"/>
      <c r="X1" s="1461"/>
      <c r="Y1" s="1461"/>
      <c r="Z1" s="1461"/>
      <c r="AA1" s="1461"/>
      <c r="AB1" s="1461"/>
      <c r="AC1" s="1461"/>
      <c r="AD1" s="1461"/>
      <c r="AE1" s="1461"/>
      <c r="AF1" s="1461"/>
      <c r="AG1" s="1461"/>
      <c r="AH1" s="1461"/>
      <c r="AI1" s="1461"/>
      <c r="AJ1" s="1461"/>
      <c r="AK1" s="1461"/>
      <c r="AL1" s="1461"/>
      <c r="AM1" s="1461"/>
      <c r="AN1" s="1461"/>
      <c r="AO1" s="1461"/>
      <c r="AP1" s="1461"/>
    </row>
    <row r="2" spans="1:46" ht="12.75" x14ac:dyDescent="0.2">
      <c r="B2" s="1462" t="s">
        <v>78</v>
      </c>
      <c r="C2" s="1463"/>
      <c r="D2" s="1463"/>
      <c r="E2" s="1463"/>
      <c r="F2" s="1463"/>
      <c r="G2" s="1463"/>
      <c r="H2" s="1463"/>
      <c r="I2" s="1463"/>
      <c r="J2" s="1463"/>
      <c r="K2" s="1463"/>
      <c r="L2" s="1463"/>
      <c r="M2" s="1463"/>
      <c r="N2" s="1463"/>
      <c r="O2" s="1463"/>
      <c r="P2" s="1463"/>
      <c r="Q2" s="1463"/>
      <c r="R2" s="1463"/>
      <c r="S2" s="1463"/>
      <c r="T2" s="1463"/>
      <c r="U2" s="1463"/>
      <c r="V2" s="1463"/>
      <c r="W2" s="1463"/>
      <c r="X2" s="1463"/>
      <c r="Y2" s="1463"/>
      <c r="Z2" s="1463"/>
      <c r="AA2" s="1463"/>
      <c r="AB2" s="1463"/>
      <c r="AC2" s="1463"/>
      <c r="AD2" s="1463"/>
      <c r="AE2" s="1463"/>
      <c r="AF2" s="1463"/>
      <c r="AG2" s="1463"/>
      <c r="AH2" s="1463"/>
      <c r="AI2" s="1463"/>
      <c r="AJ2" s="1463"/>
      <c r="AK2" s="1463"/>
      <c r="AL2" s="1463"/>
      <c r="AM2" s="1463"/>
      <c r="AN2" s="1463"/>
      <c r="AO2" s="1463"/>
      <c r="AP2" s="1463"/>
    </row>
    <row r="3" spans="1:46" ht="12.75" x14ac:dyDescent="0.2">
      <c r="A3" s="76"/>
      <c r="B3" s="1308" t="s">
        <v>1132</v>
      </c>
      <c r="C3" s="1461"/>
      <c r="D3" s="1461"/>
      <c r="E3" s="1461"/>
      <c r="F3" s="1461"/>
      <c r="G3" s="1461"/>
      <c r="H3" s="1461"/>
      <c r="I3" s="1461"/>
      <c r="J3" s="1461"/>
      <c r="K3" s="1461"/>
      <c r="L3" s="1461"/>
      <c r="M3" s="1461"/>
      <c r="N3" s="1461"/>
      <c r="O3" s="1461"/>
      <c r="P3" s="1461"/>
      <c r="Q3" s="1461"/>
      <c r="R3" s="1461"/>
      <c r="S3" s="1461"/>
      <c r="T3" s="1461"/>
      <c r="U3" s="1461"/>
      <c r="V3" s="1461"/>
      <c r="W3" s="1461"/>
      <c r="X3" s="1461"/>
      <c r="Y3" s="1461"/>
      <c r="Z3" s="1461"/>
      <c r="AA3" s="1461"/>
      <c r="AB3" s="1461"/>
      <c r="AC3" s="1461"/>
      <c r="AD3" s="1461"/>
      <c r="AE3" s="1461"/>
      <c r="AF3" s="1461"/>
      <c r="AG3" s="1461"/>
      <c r="AH3" s="1461"/>
      <c r="AI3" s="1461"/>
      <c r="AJ3" s="1461"/>
      <c r="AK3" s="1461"/>
      <c r="AL3" s="1461"/>
      <c r="AM3" s="1461"/>
      <c r="AN3" s="1461"/>
      <c r="AO3" s="1461"/>
      <c r="AP3" s="1461"/>
    </row>
    <row r="4" spans="1:46" ht="11.25" thickBot="1" x14ac:dyDescent="0.25">
      <c r="A4" s="76"/>
      <c r="C4" s="1475" t="s">
        <v>321</v>
      </c>
      <c r="D4" s="1476"/>
      <c r="E4" s="1476"/>
      <c r="F4" s="1476"/>
      <c r="G4" s="1476"/>
      <c r="H4" s="1476"/>
      <c r="I4" s="1476"/>
      <c r="J4" s="1476"/>
      <c r="K4" s="1476"/>
      <c r="L4" s="1476"/>
      <c r="M4" s="1476"/>
      <c r="N4" s="1476"/>
      <c r="O4" s="1476"/>
      <c r="P4" s="1476"/>
      <c r="Q4" s="1476"/>
      <c r="R4" s="1476"/>
      <c r="S4" s="1476"/>
      <c r="T4" s="1476"/>
      <c r="U4" s="1476"/>
      <c r="V4" s="1476"/>
      <c r="W4" s="1476"/>
      <c r="X4" s="1476"/>
      <c r="Y4" s="1476"/>
      <c r="Z4" s="1476"/>
      <c r="AA4" s="1476"/>
      <c r="AB4" s="1476"/>
      <c r="AC4" s="1476"/>
      <c r="AD4" s="1476"/>
      <c r="AE4" s="1476"/>
      <c r="AF4" s="1476"/>
      <c r="AG4" s="1476"/>
      <c r="AH4" s="1476"/>
      <c r="AI4" s="1476"/>
      <c r="AJ4" s="1476"/>
      <c r="AK4" s="1476"/>
      <c r="AL4" s="1476"/>
      <c r="AM4" s="1476"/>
      <c r="AN4" s="1476"/>
      <c r="AO4" s="1476"/>
      <c r="AP4" s="1476"/>
    </row>
    <row r="5" spans="1:46" x14ac:dyDescent="0.2">
      <c r="A5" s="643"/>
      <c r="B5" s="1464" t="s">
        <v>498</v>
      </c>
      <c r="C5" s="1097" t="s">
        <v>57</v>
      </c>
      <c r="D5" s="1466" t="s">
        <v>58</v>
      </c>
      <c r="E5" s="1467"/>
      <c r="F5" s="1467"/>
      <c r="G5" s="1450"/>
      <c r="H5" s="1099"/>
      <c r="I5" s="1099"/>
      <c r="J5" s="1472" t="s">
        <v>59</v>
      </c>
      <c r="K5" s="1467"/>
      <c r="L5" s="1467"/>
      <c r="M5" s="1450"/>
      <c r="N5" s="1099"/>
      <c r="O5" s="1099"/>
      <c r="P5" s="1472" t="s">
        <v>628</v>
      </c>
      <c r="Q5" s="1467"/>
      <c r="R5" s="1467"/>
      <c r="S5" s="1450"/>
      <c r="T5" s="1099"/>
      <c r="U5" s="1099"/>
      <c r="V5" s="1472" t="s">
        <v>499</v>
      </c>
      <c r="W5" s="1467"/>
      <c r="X5" s="1467"/>
      <c r="Y5" s="1450"/>
      <c r="Z5" s="1099"/>
      <c r="AA5" s="1099"/>
      <c r="AB5" s="1448" t="s">
        <v>500</v>
      </c>
      <c r="AC5" s="1449"/>
      <c r="AD5" s="1449"/>
      <c r="AE5" s="1450"/>
      <c r="AF5" s="1099"/>
      <c r="AG5" s="1099"/>
      <c r="AH5" s="1448" t="s">
        <v>501</v>
      </c>
      <c r="AI5" s="1450"/>
      <c r="AJ5" s="1448" t="s">
        <v>629</v>
      </c>
      <c r="AK5" s="1449"/>
      <c r="AL5" s="1449"/>
      <c r="AM5" s="1450"/>
      <c r="AN5" s="1099"/>
      <c r="AO5" s="1099"/>
      <c r="AP5" s="1100" t="s">
        <v>640</v>
      </c>
      <c r="AQ5" s="1138"/>
      <c r="AR5" s="1139"/>
    </row>
    <row r="6" spans="1:46" ht="13.5" thickBot="1" x14ac:dyDescent="0.25">
      <c r="A6" s="643"/>
      <c r="B6" s="1465"/>
      <c r="C6" s="1098"/>
      <c r="D6" s="1477" t="s">
        <v>1125</v>
      </c>
      <c r="E6" s="1478"/>
      <c r="F6" s="1478"/>
      <c r="G6" s="1479"/>
      <c r="H6" s="1479"/>
      <c r="I6" s="1479"/>
      <c r="J6" s="1479"/>
      <c r="K6" s="1479"/>
      <c r="L6" s="1479"/>
      <c r="M6" s="1479"/>
      <c r="N6" s="1479"/>
      <c r="O6" s="1479"/>
      <c r="P6" s="1479"/>
      <c r="Q6" s="1479"/>
      <c r="R6" s="1479"/>
      <c r="S6" s="1479"/>
      <c r="T6" s="1479"/>
      <c r="U6" s="1479"/>
      <c r="V6" s="1479"/>
      <c r="W6" s="1479"/>
      <c r="X6" s="1479"/>
      <c r="Y6" s="1479"/>
      <c r="Z6" s="1479"/>
      <c r="AA6" s="1479"/>
      <c r="AB6" s="1479"/>
      <c r="AC6" s="1479"/>
      <c r="AD6" s="1479"/>
      <c r="AE6" s="1479"/>
      <c r="AF6" s="1479"/>
      <c r="AG6" s="1479"/>
      <c r="AH6" s="1479"/>
      <c r="AI6" s="1479"/>
      <c r="AJ6" s="1479"/>
      <c r="AK6" s="1479"/>
      <c r="AL6" s="1479"/>
      <c r="AM6" s="1479"/>
      <c r="AN6" s="1479"/>
      <c r="AO6" s="1479"/>
      <c r="AP6" s="1480"/>
      <c r="AQ6" s="1140"/>
      <c r="AR6" s="1141"/>
    </row>
    <row r="7" spans="1:46" ht="24.95" customHeight="1" x14ac:dyDescent="0.2">
      <c r="A7" s="643"/>
      <c r="B7" s="1465"/>
      <c r="C7" s="1481" t="s">
        <v>86</v>
      </c>
      <c r="D7" s="1485" t="s">
        <v>477</v>
      </c>
      <c r="E7" s="1486"/>
      <c r="F7" s="1486"/>
      <c r="G7" s="1486"/>
      <c r="H7" s="1486"/>
      <c r="I7" s="1487"/>
      <c r="J7" s="1486" t="s">
        <v>21</v>
      </c>
      <c r="K7" s="1486"/>
      <c r="L7" s="1486"/>
      <c r="M7" s="1486"/>
      <c r="N7" s="1486"/>
      <c r="O7" s="1487"/>
      <c r="P7" s="1486" t="s">
        <v>475</v>
      </c>
      <c r="Q7" s="1486"/>
      <c r="R7" s="1486"/>
      <c r="S7" s="1486"/>
      <c r="T7" s="1486"/>
      <c r="U7" s="1487"/>
      <c r="V7" s="1455" t="s">
        <v>487</v>
      </c>
      <c r="W7" s="1455"/>
      <c r="X7" s="1455"/>
      <c r="Y7" s="1455"/>
      <c r="Z7" s="1455"/>
      <c r="AA7" s="1456"/>
      <c r="AB7" s="1455" t="s">
        <v>486</v>
      </c>
      <c r="AC7" s="1455"/>
      <c r="AD7" s="1455"/>
      <c r="AE7" s="1455"/>
      <c r="AF7" s="1455"/>
      <c r="AG7" s="1456"/>
      <c r="AH7" s="1468" t="s">
        <v>283</v>
      </c>
      <c r="AI7" s="1469"/>
      <c r="AJ7" s="1455" t="s">
        <v>476</v>
      </c>
      <c r="AK7" s="1455"/>
      <c r="AL7" s="1455"/>
      <c r="AM7" s="1455"/>
      <c r="AN7" s="1455"/>
      <c r="AO7" s="1456"/>
      <c r="AP7" s="1473" t="s">
        <v>564</v>
      </c>
      <c r="AQ7" s="1451" t="s">
        <v>1257</v>
      </c>
      <c r="AR7" s="1454" t="s">
        <v>1260</v>
      </c>
    </row>
    <row r="8" spans="1:46" ht="26.25" customHeight="1" x14ac:dyDescent="0.2">
      <c r="A8" s="643"/>
      <c r="B8" s="1465"/>
      <c r="C8" s="1482"/>
      <c r="D8" s="1488" t="s">
        <v>189</v>
      </c>
      <c r="E8" s="1457"/>
      <c r="F8" s="1458"/>
      <c r="G8" s="1459" t="s">
        <v>190</v>
      </c>
      <c r="H8" s="1457"/>
      <c r="I8" s="1460"/>
      <c r="J8" s="1457" t="s">
        <v>189</v>
      </c>
      <c r="K8" s="1457"/>
      <c r="L8" s="1458"/>
      <c r="M8" s="1459" t="s">
        <v>190</v>
      </c>
      <c r="N8" s="1457"/>
      <c r="O8" s="1460"/>
      <c r="P8" s="1457" t="s">
        <v>189</v>
      </c>
      <c r="Q8" s="1457"/>
      <c r="R8" s="1458"/>
      <c r="S8" s="1459" t="s">
        <v>190</v>
      </c>
      <c r="T8" s="1457"/>
      <c r="U8" s="1460"/>
      <c r="V8" s="1457" t="s">
        <v>189</v>
      </c>
      <c r="W8" s="1457"/>
      <c r="X8" s="1458"/>
      <c r="Y8" s="1459" t="s">
        <v>190</v>
      </c>
      <c r="Z8" s="1457"/>
      <c r="AA8" s="1460"/>
      <c r="AB8" s="1457" t="s">
        <v>189</v>
      </c>
      <c r="AC8" s="1457"/>
      <c r="AD8" s="1458"/>
      <c r="AE8" s="1459" t="s">
        <v>190</v>
      </c>
      <c r="AF8" s="1457"/>
      <c r="AG8" s="1460"/>
      <c r="AH8" s="1470"/>
      <c r="AI8" s="1471"/>
      <c r="AJ8" s="1457" t="s">
        <v>189</v>
      </c>
      <c r="AK8" s="1457"/>
      <c r="AL8" s="1458"/>
      <c r="AM8" s="1459" t="s">
        <v>190</v>
      </c>
      <c r="AN8" s="1457"/>
      <c r="AO8" s="1460"/>
      <c r="AP8" s="1473"/>
      <c r="AQ8" s="1452"/>
      <c r="AR8" s="1454"/>
    </row>
    <row r="9" spans="1:46" s="211" customFormat="1" ht="40.9" customHeight="1" x14ac:dyDescent="0.15">
      <c r="A9" s="644"/>
      <c r="B9" s="1465"/>
      <c r="C9" s="1474"/>
      <c r="D9" s="1069" t="s">
        <v>62</v>
      </c>
      <c r="E9" s="1070" t="s">
        <v>1257</v>
      </c>
      <c r="F9" s="1070" t="s">
        <v>1258</v>
      </c>
      <c r="G9" s="1030" t="s">
        <v>63</v>
      </c>
      <c r="H9" s="1070" t="s">
        <v>1257</v>
      </c>
      <c r="I9" s="1110" t="s">
        <v>1259</v>
      </c>
      <c r="J9" s="1101" t="s">
        <v>62</v>
      </c>
      <c r="K9" s="1070" t="s">
        <v>1257</v>
      </c>
      <c r="L9" s="1070" t="s">
        <v>1258</v>
      </c>
      <c r="M9" s="1030" t="s">
        <v>63</v>
      </c>
      <c r="N9" s="1070" t="s">
        <v>1257</v>
      </c>
      <c r="O9" s="1110" t="s">
        <v>1259</v>
      </c>
      <c r="P9" s="1101" t="s">
        <v>62</v>
      </c>
      <c r="Q9" s="1070" t="s">
        <v>1257</v>
      </c>
      <c r="R9" s="1070" t="s">
        <v>1258</v>
      </c>
      <c r="S9" s="1030" t="s">
        <v>63</v>
      </c>
      <c r="T9" s="1070" t="s">
        <v>1257</v>
      </c>
      <c r="U9" s="1110" t="s">
        <v>1259</v>
      </c>
      <c r="V9" s="1101" t="s">
        <v>62</v>
      </c>
      <c r="W9" s="1070" t="s">
        <v>1257</v>
      </c>
      <c r="X9" s="1070" t="s">
        <v>1258</v>
      </c>
      <c r="Y9" s="1030" t="s">
        <v>63</v>
      </c>
      <c r="Z9" s="1070" t="s">
        <v>1257</v>
      </c>
      <c r="AA9" s="1110" t="s">
        <v>1259</v>
      </c>
      <c r="AB9" s="1101" t="s">
        <v>62</v>
      </c>
      <c r="AC9" s="1070" t="s">
        <v>1257</v>
      </c>
      <c r="AD9" s="1070" t="s">
        <v>1258</v>
      </c>
      <c r="AE9" s="1030" t="s">
        <v>63</v>
      </c>
      <c r="AF9" s="1070" t="s">
        <v>1257</v>
      </c>
      <c r="AG9" s="1110" t="s">
        <v>1259</v>
      </c>
      <c r="AH9" s="1101" t="s">
        <v>62</v>
      </c>
      <c r="AI9" s="1124" t="s">
        <v>63</v>
      </c>
      <c r="AJ9" s="1101" t="s">
        <v>62</v>
      </c>
      <c r="AK9" s="1070" t="s">
        <v>1257</v>
      </c>
      <c r="AL9" s="1070" t="s">
        <v>1258</v>
      </c>
      <c r="AM9" s="1030" t="s">
        <v>63</v>
      </c>
      <c r="AN9" s="1070" t="s">
        <v>1257</v>
      </c>
      <c r="AO9" s="1110" t="s">
        <v>1259</v>
      </c>
      <c r="AP9" s="1474"/>
      <c r="AQ9" s="1453"/>
      <c r="AR9" s="1454"/>
      <c r="AS9" s="278"/>
      <c r="AT9" s="278"/>
    </row>
    <row r="10" spans="1:46" s="211" customFormat="1" ht="15" customHeight="1" x14ac:dyDescent="0.2">
      <c r="A10" s="1066"/>
      <c r="B10" s="1071">
        <v>1</v>
      </c>
      <c r="C10" s="1072" t="s">
        <v>1042</v>
      </c>
      <c r="D10" s="755">
        <v>4645</v>
      </c>
      <c r="E10" s="755"/>
      <c r="F10" s="755"/>
      <c r="G10" s="755"/>
      <c r="H10" s="755"/>
      <c r="I10" s="1111"/>
      <c r="J10" s="1102">
        <v>1104</v>
      </c>
      <c r="K10" s="755"/>
      <c r="L10" s="755"/>
      <c r="M10" s="755"/>
      <c r="N10" s="755"/>
      <c r="O10" s="1111"/>
      <c r="P10" s="1119">
        <f>4168+6900</f>
        <v>11068</v>
      </c>
      <c r="Q10" s="1073"/>
      <c r="R10" s="1073"/>
      <c r="S10" s="755"/>
      <c r="T10" s="755"/>
      <c r="U10" s="1111"/>
      <c r="V10" s="1102"/>
      <c r="W10" s="755"/>
      <c r="X10" s="755"/>
      <c r="Y10" s="755"/>
      <c r="Z10" s="755"/>
      <c r="AA10" s="1111"/>
      <c r="AB10" s="1102"/>
      <c r="AC10" s="755"/>
      <c r="AD10" s="755"/>
      <c r="AE10" s="755"/>
      <c r="AF10" s="755"/>
      <c r="AG10" s="1111"/>
      <c r="AH10" s="1102"/>
      <c r="AI10" s="1111"/>
      <c r="AJ10" s="1102"/>
      <c r="AK10" s="755"/>
      <c r="AL10" s="755"/>
      <c r="AM10" s="755"/>
      <c r="AN10" s="755"/>
      <c r="AO10" s="1111"/>
      <c r="AP10" s="1127">
        <f>SUM(D10:AM10)</f>
        <v>16817</v>
      </c>
      <c r="AQ10" s="1074"/>
      <c r="AR10" s="1131"/>
      <c r="AS10" s="278"/>
      <c r="AT10" s="278"/>
    </row>
    <row r="11" spans="1:46" s="211" customFormat="1" ht="23.25" customHeight="1" x14ac:dyDescent="0.2">
      <c r="A11" s="1066"/>
      <c r="B11" s="1071">
        <f>B10+1</f>
        <v>2</v>
      </c>
      <c r="C11" s="1072" t="s">
        <v>1041</v>
      </c>
      <c r="D11" s="755">
        <v>4098</v>
      </c>
      <c r="E11" s="755"/>
      <c r="F11" s="755"/>
      <c r="G11" s="755"/>
      <c r="H11" s="755"/>
      <c r="I11" s="1111"/>
      <c r="J11" s="1102">
        <v>902</v>
      </c>
      <c r="K11" s="755"/>
      <c r="L11" s="755"/>
      <c r="M11" s="755"/>
      <c r="N11" s="755"/>
      <c r="O11" s="1111"/>
      <c r="P11" s="1119">
        <v>15640</v>
      </c>
      <c r="Q11" s="1073"/>
      <c r="R11" s="1073"/>
      <c r="S11" s="755"/>
      <c r="T11" s="755"/>
      <c r="U11" s="1111"/>
      <c r="V11" s="1102"/>
      <c r="W11" s="755"/>
      <c r="X11" s="755"/>
      <c r="Y11" s="755"/>
      <c r="Z11" s="755"/>
      <c r="AA11" s="1111"/>
      <c r="AB11" s="1102"/>
      <c r="AC11" s="755"/>
      <c r="AD11" s="755"/>
      <c r="AE11" s="755"/>
      <c r="AF11" s="755"/>
      <c r="AG11" s="1111"/>
      <c r="AH11" s="1102"/>
      <c r="AI11" s="1111"/>
      <c r="AJ11" s="1102"/>
      <c r="AK11" s="755"/>
      <c r="AL11" s="755"/>
      <c r="AM11" s="755"/>
      <c r="AN11" s="755"/>
      <c r="AO11" s="1111"/>
      <c r="AP11" s="1127">
        <f>SUM(D11:AM11)</f>
        <v>20640</v>
      </c>
      <c r="AQ11" s="1074"/>
      <c r="AR11" s="1131"/>
      <c r="AS11" s="278"/>
      <c r="AT11" s="278"/>
    </row>
    <row r="12" spans="1:46" s="275" customFormat="1" ht="13.5" customHeight="1" x14ac:dyDescent="0.2">
      <c r="A12" s="1067"/>
      <c r="B12" s="1071">
        <f t="shared" ref="B12:B59" si="0">B11+1</f>
        <v>3</v>
      </c>
      <c r="C12" s="1075" t="s">
        <v>1059</v>
      </c>
      <c r="D12" s="1076"/>
      <c r="E12" s="1076"/>
      <c r="F12" s="1076"/>
      <c r="G12" s="1077"/>
      <c r="H12" s="1077"/>
      <c r="I12" s="1112"/>
      <c r="J12" s="1103"/>
      <c r="K12" s="1077"/>
      <c r="L12" s="1077"/>
      <c r="M12" s="1077"/>
      <c r="N12" s="1077"/>
      <c r="O12" s="1112"/>
      <c r="P12" s="1108"/>
      <c r="Q12" s="1078"/>
      <c r="R12" s="1078"/>
      <c r="S12" s="1079">
        <v>5000</v>
      </c>
      <c r="T12" s="1079"/>
      <c r="U12" s="1116"/>
      <c r="V12" s="1108"/>
      <c r="W12" s="1078"/>
      <c r="X12" s="1078"/>
      <c r="Y12" s="1077"/>
      <c r="Z12" s="1077"/>
      <c r="AA12" s="1112"/>
      <c r="AB12" s="1103"/>
      <c r="AC12" s="1077"/>
      <c r="AD12" s="1077"/>
      <c r="AE12" s="1077"/>
      <c r="AF12" s="1077"/>
      <c r="AG12" s="1112"/>
      <c r="AH12" s="1103"/>
      <c r="AI12" s="1112"/>
      <c r="AJ12" s="1103"/>
      <c r="AK12" s="1077"/>
      <c r="AL12" s="1077"/>
      <c r="AM12" s="1077"/>
      <c r="AN12" s="1077"/>
      <c r="AO12" s="1112"/>
      <c r="AP12" s="1127">
        <f t="shared" ref="AP12:AP59" si="1">SUM(D12:AM12)</f>
        <v>5000</v>
      </c>
      <c r="AQ12" s="1039"/>
      <c r="AR12" s="1132"/>
      <c r="AS12" s="276"/>
      <c r="AT12" s="276"/>
    </row>
    <row r="13" spans="1:46" s="275" customFormat="1" ht="17.25" customHeight="1" x14ac:dyDescent="0.2">
      <c r="A13" s="1067"/>
      <c r="B13" s="1071">
        <f t="shared" si="0"/>
        <v>4</v>
      </c>
      <c r="C13" s="1072" t="s">
        <v>1040</v>
      </c>
      <c r="D13" s="1076"/>
      <c r="E13" s="1076"/>
      <c r="F13" s="1076"/>
      <c r="G13" s="1077"/>
      <c r="H13" s="1077"/>
      <c r="I13" s="1112"/>
      <c r="J13" s="1103"/>
      <c r="K13" s="1077"/>
      <c r="L13" s="1077"/>
      <c r="M13" s="1077"/>
      <c r="N13" s="1077"/>
      <c r="O13" s="1112"/>
      <c r="P13" s="1108">
        <v>1969</v>
      </c>
      <c r="Q13" s="1078"/>
      <c r="R13" s="1078"/>
      <c r="S13" s="1040"/>
      <c r="T13" s="1040"/>
      <c r="U13" s="1113"/>
      <c r="V13" s="1108"/>
      <c r="W13" s="1078"/>
      <c r="X13" s="1078"/>
      <c r="Y13" s="1077"/>
      <c r="Z13" s="1077"/>
      <c r="AA13" s="1112"/>
      <c r="AB13" s="1103"/>
      <c r="AC13" s="1077"/>
      <c r="AD13" s="1077"/>
      <c r="AE13" s="1077"/>
      <c r="AF13" s="1077"/>
      <c r="AG13" s="1112"/>
      <c r="AH13" s="1103"/>
      <c r="AI13" s="1112"/>
      <c r="AJ13" s="1103"/>
      <c r="AK13" s="1077"/>
      <c r="AL13" s="1077"/>
      <c r="AM13" s="1077"/>
      <c r="AN13" s="1077"/>
      <c r="AO13" s="1112"/>
      <c r="AP13" s="1127">
        <f t="shared" si="1"/>
        <v>1969</v>
      </c>
      <c r="AQ13" s="1074"/>
      <c r="AR13" s="1131"/>
      <c r="AS13" s="276"/>
      <c r="AT13" s="276"/>
    </row>
    <row r="14" spans="1:46" s="275" customFormat="1" ht="16.5" customHeight="1" x14ac:dyDescent="0.2">
      <c r="A14" s="1067"/>
      <c r="B14" s="1071">
        <f t="shared" si="0"/>
        <v>5</v>
      </c>
      <c r="C14" s="1072" t="s">
        <v>1063</v>
      </c>
      <c r="D14" s="1076"/>
      <c r="E14" s="1076"/>
      <c r="F14" s="1076"/>
      <c r="G14" s="1077"/>
      <c r="H14" s="1077"/>
      <c r="I14" s="1112"/>
      <c r="J14" s="1103"/>
      <c r="K14" s="1077"/>
      <c r="L14" s="1077"/>
      <c r="M14" s="1077"/>
      <c r="N14" s="1077"/>
      <c r="O14" s="1112"/>
      <c r="P14" s="1108"/>
      <c r="Q14" s="1078"/>
      <c r="R14" s="1078"/>
      <c r="S14" s="1079"/>
      <c r="T14" s="1079"/>
      <c r="U14" s="1116"/>
      <c r="V14" s="1108"/>
      <c r="W14" s="1078"/>
      <c r="X14" s="1078"/>
      <c r="Y14" s="1077"/>
      <c r="Z14" s="1077"/>
      <c r="AA14" s="1112"/>
      <c r="AB14" s="1103"/>
      <c r="AC14" s="1077"/>
      <c r="AD14" s="1077"/>
      <c r="AE14" s="1077"/>
      <c r="AF14" s="1077"/>
      <c r="AG14" s="1112"/>
      <c r="AH14" s="1103"/>
      <c r="AI14" s="1112"/>
      <c r="AJ14" s="1103"/>
      <c r="AK14" s="1077"/>
      <c r="AL14" s="1077"/>
      <c r="AM14" s="1081">
        <f>'ellátottak önk.'!F13</f>
        <v>850</v>
      </c>
      <c r="AN14" s="1081"/>
      <c r="AO14" s="1130"/>
      <c r="AP14" s="1127">
        <f t="shared" si="1"/>
        <v>850</v>
      </c>
      <c r="AQ14" s="1080"/>
      <c r="AR14" s="1132"/>
      <c r="AS14" s="276"/>
      <c r="AT14" s="276"/>
    </row>
    <row r="15" spans="1:46" s="275" customFormat="1" ht="16.5" customHeight="1" x14ac:dyDescent="0.2">
      <c r="A15" s="1067"/>
      <c r="B15" s="1071">
        <f t="shared" si="0"/>
        <v>6</v>
      </c>
      <c r="C15" s="1072" t="s">
        <v>1030</v>
      </c>
      <c r="D15" s="1076"/>
      <c r="E15" s="1076"/>
      <c r="F15" s="1076"/>
      <c r="G15" s="1077"/>
      <c r="H15" s="1077"/>
      <c r="I15" s="1112"/>
      <c r="J15" s="1103"/>
      <c r="K15" s="1077"/>
      <c r="L15" s="1077"/>
      <c r="M15" s="1077"/>
      <c r="N15" s="1077"/>
      <c r="O15" s="1112"/>
      <c r="P15" s="1108"/>
      <c r="Q15" s="1078"/>
      <c r="R15" s="1078"/>
      <c r="S15" s="1079"/>
      <c r="T15" s="1079"/>
      <c r="U15" s="1116"/>
      <c r="V15" s="1108"/>
      <c r="W15" s="1078"/>
      <c r="X15" s="1078"/>
      <c r="Y15" s="1077"/>
      <c r="Z15" s="1077"/>
      <c r="AA15" s="1112"/>
      <c r="AB15" s="1103"/>
      <c r="AC15" s="1077"/>
      <c r="AD15" s="1077"/>
      <c r="AE15" s="1077"/>
      <c r="AF15" s="1077"/>
      <c r="AG15" s="1112"/>
      <c r="AH15" s="1103"/>
      <c r="AI15" s="1112"/>
      <c r="AJ15" s="1103"/>
      <c r="AK15" s="1077"/>
      <c r="AL15" s="1077"/>
      <c r="AM15" s="1081">
        <v>600</v>
      </c>
      <c r="AN15" s="1081"/>
      <c r="AO15" s="1130"/>
      <c r="AP15" s="1127">
        <f t="shared" ref="AP15:AP25" si="2">SUM(D15:AM15)</f>
        <v>600</v>
      </c>
      <c r="AQ15" s="1080"/>
      <c r="AR15" s="1132"/>
      <c r="AS15" s="276"/>
      <c r="AT15" s="276"/>
    </row>
    <row r="16" spans="1:46" s="275" customFormat="1" ht="16.5" customHeight="1" x14ac:dyDescent="0.2">
      <c r="A16" s="1067"/>
      <c r="B16" s="1071">
        <f t="shared" si="0"/>
        <v>7</v>
      </c>
      <c r="C16" s="1072" t="s">
        <v>1031</v>
      </c>
      <c r="D16" s="1076"/>
      <c r="E16" s="1076"/>
      <c r="F16" s="1076"/>
      <c r="G16" s="1077"/>
      <c r="H16" s="1077"/>
      <c r="I16" s="1112"/>
      <c r="J16" s="1103"/>
      <c r="K16" s="1077"/>
      <c r="L16" s="1077"/>
      <c r="M16" s="1077"/>
      <c r="N16" s="1077"/>
      <c r="O16" s="1112"/>
      <c r="P16" s="1108"/>
      <c r="Q16" s="1078"/>
      <c r="R16" s="1078"/>
      <c r="S16" s="1079"/>
      <c r="T16" s="1079"/>
      <c r="U16" s="1116"/>
      <c r="V16" s="1108"/>
      <c r="W16" s="1078"/>
      <c r="X16" s="1078"/>
      <c r="Y16" s="1077"/>
      <c r="Z16" s="1077"/>
      <c r="AA16" s="1112"/>
      <c r="AB16" s="1103"/>
      <c r="AC16" s="1077"/>
      <c r="AD16" s="1077"/>
      <c r="AE16" s="1077"/>
      <c r="AF16" s="1077"/>
      <c r="AG16" s="1112"/>
      <c r="AH16" s="1103"/>
      <c r="AI16" s="1112"/>
      <c r="AJ16" s="1103"/>
      <c r="AK16" s="1077"/>
      <c r="AL16" s="1077"/>
      <c r="AM16" s="1081">
        <v>800</v>
      </c>
      <c r="AN16" s="1081"/>
      <c r="AO16" s="1130"/>
      <c r="AP16" s="1127">
        <f t="shared" si="2"/>
        <v>800</v>
      </c>
      <c r="AQ16" s="1080"/>
      <c r="AR16" s="1132"/>
      <c r="AS16" s="276"/>
      <c r="AT16" s="276"/>
    </row>
    <row r="17" spans="1:46" s="275" customFormat="1" ht="15.75" customHeight="1" x14ac:dyDescent="0.2">
      <c r="A17" s="1067"/>
      <c r="B17" s="1071">
        <f t="shared" si="0"/>
        <v>8</v>
      </c>
      <c r="C17" s="1072" t="s">
        <v>1032</v>
      </c>
      <c r="D17" s="1076"/>
      <c r="E17" s="1076"/>
      <c r="F17" s="1076"/>
      <c r="G17" s="1077"/>
      <c r="H17" s="1077"/>
      <c r="I17" s="1112"/>
      <c r="J17" s="1103"/>
      <c r="K17" s="1077"/>
      <c r="L17" s="1077"/>
      <c r="M17" s="1077"/>
      <c r="N17" s="1077"/>
      <c r="O17" s="1112"/>
      <c r="P17" s="1108"/>
      <c r="Q17" s="1078"/>
      <c r="R17" s="1078"/>
      <c r="S17" s="1079"/>
      <c r="T17" s="1079"/>
      <c r="U17" s="1116"/>
      <c r="V17" s="1108"/>
      <c r="W17" s="1078"/>
      <c r="X17" s="1078"/>
      <c r="Y17" s="1077"/>
      <c r="Z17" s="1077"/>
      <c r="AA17" s="1112"/>
      <c r="AB17" s="1103"/>
      <c r="AC17" s="1077"/>
      <c r="AD17" s="1077"/>
      <c r="AE17" s="1077"/>
      <c r="AF17" s="1077"/>
      <c r="AG17" s="1112"/>
      <c r="AH17" s="1103"/>
      <c r="AI17" s="1112"/>
      <c r="AJ17" s="1103"/>
      <c r="AK17" s="1077"/>
      <c r="AL17" s="1077"/>
      <c r="AM17" s="1081">
        <v>1000</v>
      </c>
      <c r="AN17" s="1081"/>
      <c r="AO17" s="1130"/>
      <c r="AP17" s="1127">
        <f t="shared" si="2"/>
        <v>1000</v>
      </c>
      <c r="AQ17" s="1080"/>
      <c r="AR17" s="1132"/>
      <c r="AS17" s="276"/>
      <c r="AT17" s="276"/>
    </row>
    <row r="18" spans="1:46" s="275" customFormat="1" ht="13.5" customHeight="1" x14ac:dyDescent="0.2">
      <c r="A18" s="1067"/>
      <c r="B18" s="1071">
        <f t="shared" si="0"/>
        <v>9</v>
      </c>
      <c r="C18" s="1072" t="s">
        <v>1066</v>
      </c>
      <c r="D18" s="1076"/>
      <c r="E18" s="1076"/>
      <c r="F18" s="1076"/>
      <c r="G18" s="1077"/>
      <c r="H18" s="1077"/>
      <c r="I18" s="1112"/>
      <c r="J18" s="1103"/>
      <c r="K18" s="1077"/>
      <c r="L18" s="1077"/>
      <c r="M18" s="1077"/>
      <c r="N18" s="1077"/>
      <c r="O18" s="1112"/>
      <c r="P18" s="1108"/>
      <c r="Q18" s="1078"/>
      <c r="R18" s="1078"/>
      <c r="S18" s="1079"/>
      <c r="T18" s="1079"/>
      <c r="U18" s="1116"/>
      <c r="V18" s="1108"/>
      <c r="W18" s="1078"/>
      <c r="X18" s="1078"/>
      <c r="Y18" s="1077"/>
      <c r="Z18" s="1077"/>
      <c r="AA18" s="1112"/>
      <c r="AB18" s="1103"/>
      <c r="AC18" s="1077"/>
      <c r="AD18" s="1077"/>
      <c r="AE18" s="1077"/>
      <c r="AF18" s="1077"/>
      <c r="AG18" s="1112"/>
      <c r="AH18" s="1103"/>
      <c r="AI18" s="1112"/>
      <c r="AJ18" s="1103"/>
      <c r="AK18" s="1077"/>
      <c r="AL18" s="1077"/>
      <c r="AM18" s="1081">
        <v>600</v>
      </c>
      <c r="AN18" s="1081"/>
      <c r="AO18" s="1130"/>
      <c r="AP18" s="1127">
        <f t="shared" si="2"/>
        <v>600</v>
      </c>
      <c r="AQ18" s="1080"/>
      <c r="AR18" s="1132"/>
      <c r="AS18" s="276"/>
      <c r="AT18" s="276"/>
    </row>
    <row r="19" spans="1:46" s="275" customFormat="1" ht="13.5" customHeight="1" x14ac:dyDescent="0.2">
      <c r="A19" s="1067"/>
      <c r="B19" s="1071">
        <f t="shared" si="0"/>
        <v>10</v>
      </c>
      <c r="C19" s="1072" t="s">
        <v>1034</v>
      </c>
      <c r="D19" s="1076"/>
      <c r="E19" s="1076"/>
      <c r="F19" s="1076"/>
      <c r="G19" s="1077"/>
      <c r="H19" s="1077"/>
      <c r="I19" s="1112"/>
      <c r="J19" s="1103"/>
      <c r="K19" s="1077"/>
      <c r="L19" s="1077"/>
      <c r="M19" s="1077"/>
      <c r="N19" s="1077"/>
      <c r="O19" s="1112"/>
      <c r="P19" s="1108"/>
      <c r="Q19" s="1078"/>
      <c r="R19" s="1078"/>
      <c r="S19" s="1079"/>
      <c r="T19" s="1079"/>
      <c r="U19" s="1116"/>
      <c r="V19" s="1108"/>
      <c r="W19" s="1078"/>
      <c r="X19" s="1078"/>
      <c r="Y19" s="1077"/>
      <c r="Z19" s="1077"/>
      <c r="AA19" s="1112"/>
      <c r="AB19" s="1103"/>
      <c r="AC19" s="1077"/>
      <c r="AD19" s="1077"/>
      <c r="AE19" s="1077"/>
      <c r="AF19" s="1077"/>
      <c r="AG19" s="1112"/>
      <c r="AH19" s="1103"/>
      <c r="AI19" s="1112"/>
      <c r="AJ19" s="1103"/>
      <c r="AK19" s="1077"/>
      <c r="AL19" s="1077"/>
      <c r="AM19" s="1081">
        <v>2300</v>
      </c>
      <c r="AN19" s="1081"/>
      <c r="AO19" s="1130"/>
      <c r="AP19" s="1127">
        <f t="shared" si="2"/>
        <v>2300</v>
      </c>
      <c r="AQ19" s="1080"/>
      <c r="AR19" s="1132"/>
      <c r="AS19" s="276"/>
      <c r="AT19" s="276"/>
    </row>
    <row r="20" spans="1:46" s="275" customFormat="1" ht="12" customHeight="1" x14ac:dyDescent="0.2">
      <c r="A20" s="1067"/>
      <c r="B20" s="1071">
        <f t="shared" si="0"/>
        <v>11</v>
      </c>
      <c r="C20" s="1072" t="s">
        <v>1045</v>
      </c>
      <c r="D20" s="1076"/>
      <c r="E20" s="1076"/>
      <c r="F20" s="1076"/>
      <c r="G20" s="1077"/>
      <c r="H20" s="1077"/>
      <c r="I20" s="1112"/>
      <c r="J20" s="1103"/>
      <c r="K20" s="1077"/>
      <c r="L20" s="1077"/>
      <c r="M20" s="1077"/>
      <c r="N20" s="1077"/>
      <c r="O20" s="1112"/>
      <c r="P20" s="1108"/>
      <c r="Q20" s="1078"/>
      <c r="R20" s="1078"/>
      <c r="S20" s="1079"/>
      <c r="T20" s="1079"/>
      <c r="U20" s="1116"/>
      <c r="V20" s="1108"/>
      <c r="W20" s="1078"/>
      <c r="X20" s="1078"/>
      <c r="Y20" s="1077"/>
      <c r="Z20" s="1077"/>
      <c r="AA20" s="1112"/>
      <c r="AB20" s="1103"/>
      <c r="AC20" s="1077"/>
      <c r="AD20" s="1077"/>
      <c r="AE20" s="1077"/>
      <c r="AF20" s="1077"/>
      <c r="AG20" s="1112"/>
      <c r="AH20" s="1103"/>
      <c r="AI20" s="1112"/>
      <c r="AJ20" s="1103"/>
      <c r="AK20" s="1077"/>
      <c r="AL20" s="1077"/>
      <c r="AM20" s="1081">
        <f>'ellátottak önk.'!F22</f>
        <v>1100</v>
      </c>
      <c r="AN20" s="1081"/>
      <c r="AO20" s="1130"/>
      <c r="AP20" s="1127">
        <f t="shared" si="2"/>
        <v>1100</v>
      </c>
      <c r="AQ20" s="1080"/>
      <c r="AR20" s="1132"/>
      <c r="AS20" s="276"/>
      <c r="AT20" s="276"/>
    </row>
    <row r="21" spans="1:46" s="275" customFormat="1" ht="15" customHeight="1" x14ac:dyDescent="0.2">
      <c r="A21" s="1067"/>
      <c r="B21" s="1071">
        <f t="shared" si="0"/>
        <v>12</v>
      </c>
      <c r="C21" s="1072" t="s">
        <v>1046</v>
      </c>
      <c r="D21" s="1076"/>
      <c r="E21" s="1076"/>
      <c r="F21" s="1076"/>
      <c r="G21" s="1077"/>
      <c r="H21" s="1077"/>
      <c r="I21" s="1112"/>
      <c r="J21" s="1103"/>
      <c r="K21" s="1077"/>
      <c r="L21" s="1077"/>
      <c r="M21" s="1077"/>
      <c r="N21" s="1077"/>
      <c r="O21" s="1112"/>
      <c r="P21" s="1108"/>
      <c r="Q21" s="1078"/>
      <c r="R21" s="1078"/>
      <c r="S21" s="1079"/>
      <c r="T21" s="1079"/>
      <c r="U21" s="1116"/>
      <c r="V21" s="1108"/>
      <c r="W21" s="1078"/>
      <c r="X21" s="1078"/>
      <c r="Y21" s="1077"/>
      <c r="Z21" s="1077"/>
      <c r="AA21" s="1112"/>
      <c r="AB21" s="1103"/>
      <c r="AC21" s="1077"/>
      <c r="AD21" s="1077"/>
      <c r="AE21" s="1077"/>
      <c r="AF21" s="1077"/>
      <c r="AG21" s="1112"/>
      <c r="AH21" s="1103"/>
      <c r="AI21" s="1112"/>
      <c r="AJ21" s="1103"/>
      <c r="AK21" s="1077"/>
      <c r="AL21" s="1077"/>
      <c r="AM21" s="1081">
        <f>'ellátottak önk.'!F21</f>
        <v>1800</v>
      </c>
      <c r="AN21" s="1081"/>
      <c r="AO21" s="1130"/>
      <c r="AP21" s="1127">
        <f t="shared" si="2"/>
        <v>1800</v>
      </c>
      <c r="AQ21" s="1080"/>
      <c r="AR21" s="1132"/>
      <c r="AS21" s="276"/>
      <c r="AT21" s="276"/>
    </row>
    <row r="22" spans="1:46" s="275" customFormat="1" ht="13.5" customHeight="1" x14ac:dyDescent="0.2">
      <c r="A22" s="1067"/>
      <c r="B22" s="1071">
        <f t="shared" si="0"/>
        <v>13</v>
      </c>
      <c r="C22" s="1072" t="s">
        <v>1064</v>
      </c>
      <c r="D22" s="1076"/>
      <c r="E22" s="1076"/>
      <c r="F22" s="1076"/>
      <c r="G22" s="1077"/>
      <c r="H22" s="1077"/>
      <c r="I22" s="1112"/>
      <c r="J22" s="1103"/>
      <c r="K22" s="1077"/>
      <c r="L22" s="1077"/>
      <c r="M22" s="1077"/>
      <c r="N22" s="1077"/>
      <c r="O22" s="1112"/>
      <c r="P22" s="1108"/>
      <c r="Q22" s="1078"/>
      <c r="R22" s="1078"/>
      <c r="S22" s="1079"/>
      <c r="T22" s="1079"/>
      <c r="U22" s="1116"/>
      <c r="V22" s="1108"/>
      <c r="W22" s="1078"/>
      <c r="X22" s="1078"/>
      <c r="Y22" s="1077"/>
      <c r="Z22" s="1077"/>
      <c r="AA22" s="1112"/>
      <c r="AB22" s="1103"/>
      <c r="AC22" s="1077"/>
      <c r="AD22" s="1077"/>
      <c r="AE22" s="1077"/>
      <c r="AF22" s="1077"/>
      <c r="AG22" s="1112"/>
      <c r="AH22" s="1103"/>
      <c r="AI22" s="1112"/>
      <c r="AJ22" s="1103"/>
      <c r="AK22" s="1077"/>
      <c r="AL22" s="1077"/>
      <c r="AM22" s="1081">
        <f>'ellátottak önk.'!F20</f>
        <v>500</v>
      </c>
      <c r="AN22" s="1081"/>
      <c r="AO22" s="1130"/>
      <c r="AP22" s="1127">
        <f t="shared" si="2"/>
        <v>500</v>
      </c>
      <c r="AQ22" s="1080"/>
      <c r="AR22" s="1132"/>
      <c r="AS22" s="276"/>
      <c r="AT22" s="276"/>
    </row>
    <row r="23" spans="1:46" s="275" customFormat="1" ht="13.5" customHeight="1" x14ac:dyDescent="0.2">
      <c r="A23" s="1067"/>
      <c r="B23" s="1071">
        <f t="shared" si="0"/>
        <v>14</v>
      </c>
      <c r="C23" s="1072" t="s">
        <v>1067</v>
      </c>
      <c r="D23" s="1076"/>
      <c r="E23" s="1076"/>
      <c r="F23" s="1076"/>
      <c r="G23" s="1077"/>
      <c r="H23" s="1077"/>
      <c r="I23" s="1112"/>
      <c r="J23" s="1103"/>
      <c r="K23" s="1077"/>
      <c r="L23" s="1077"/>
      <c r="M23" s="1077"/>
      <c r="N23" s="1077"/>
      <c r="O23" s="1112"/>
      <c r="P23" s="1108"/>
      <c r="Q23" s="1078"/>
      <c r="R23" s="1078"/>
      <c r="S23" s="1079"/>
      <c r="T23" s="1079"/>
      <c r="U23" s="1116"/>
      <c r="V23" s="1108"/>
      <c r="W23" s="1078"/>
      <c r="X23" s="1078"/>
      <c r="Y23" s="1077"/>
      <c r="Z23" s="1077"/>
      <c r="AA23" s="1112"/>
      <c r="AB23" s="1103"/>
      <c r="AC23" s="1077"/>
      <c r="AD23" s="1077"/>
      <c r="AE23" s="1077"/>
      <c r="AF23" s="1077"/>
      <c r="AG23" s="1112"/>
      <c r="AH23" s="1103"/>
      <c r="AI23" s="1112"/>
      <c r="AJ23" s="1103"/>
      <c r="AK23" s="1077"/>
      <c r="AL23" s="1077"/>
      <c r="AM23" s="1081">
        <f>'ellátottak önk.'!F30</f>
        <v>4200</v>
      </c>
      <c r="AN23" s="1081"/>
      <c r="AO23" s="1130"/>
      <c r="AP23" s="1127">
        <f t="shared" si="2"/>
        <v>4200</v>
      </c>
      <c r="AQ23" s="1080"/>
      <c r="AR23" s="1132"/>
      <c r="AS23" s="276"/>
      <c r="AT23" s="276"/>
    </row>
    <row r="24" spans="1:46" s="275" customFormat="1" ht="12.75" customHeight="1" x14ac:dyDescent="0.2">
      <c r="A24" s="1067"/>
      <c r="B24" s="1071">
        <f t="shared" si="0"/>
        <v>15</v>
      </c>
      <c r="C24" s="1072" t="s">
        <v>595</v>
      </c>
      <c r="D24" s="1076"/>
      <c r="E24" s="1076"/>
      <c r="F24" s="1076"/>
      <c r="G24" s="1077"/>
      <c r="H24" s="1077"/>
      <c r="I24" s="1112"/>
      <c r="J24" s="1103"/>
      <c r="K24" s="1077"/>
      <c r="L24" s="1077"/>
      <c r="M24" s="1077"/>
      <c r="N24" s="1077"/>
      <c r="O24" s="1112"/>
      <c r="P24" s="1108"/>
      <c r="Q24" s="1078"/>
      <c r="R24" s="1078"/>
      <c r="S24" s="1079">
        <v>400</v>
      </c>
      <c r="T24" s="1079"/>
      <c r="U24" s="1116"/>
      <c r="V24" s="1108"/>
      <c r="W24" s="1078"/>
      <c r="X24" s="1078"/>
      <c r="Y24" s="1077"/>
      <c r="Z24" s="1077"/>
      <c r="AA24" s="1112"/>
      <c r="AB24" s="1103"/>
      <c r="AC24" s="1077"/>
      <c r="AD24" s="1077"/>
      <c r="AE24" s="1077"/>
      <c r="AF24" s="1077"/>
      <c r="AG24" s="1112"/>
      <c r="AH24" s="1103"/>
      <c r="AI24" s="1112"/>
      <c r="AJ24" s="1123">
        <f>'ellátottak önk.'!E26</f>
        <v>0</v>
      </c>
      <c r="AK24" s="1081"/>
      <c r="AL24" s="1081"/>
      <c r="AM24" s="1081">
        <f>'ellátottak önk.'!F26</f>
        <v>0</v>
      </c>
      <c r="AN24" s="1081"/>
      <c r="AO24" s="1130"/>
      <c r="AP24" s="1127">
        <f t="shared" si="2"/>
        <v>400</v>
      </c>
      <c r="AQ24" s="1082"/>
      <c r="AR24" s="1132"/>
      <c r="AS24" s="276"/>
      <c r="AT24" s="276"/>
    </row>
    <row r="25" spans="1:46" s="275" customFormat="1" ht="14.25" customHeight="1" x14ac:dyDescent="0.2">
      <c r="A25" s="1067"/>
      <c r="B25" s="1071">
        <f t="shared" si="0"/>
        <v>16</v>
      </c>
      <c r="C25" s="1072" t="s">
        <v>1065</v>
      </c>
      <c r="D25" s="1076"/>
      <c r="E25" s="1076"/>
      <c r="F25" s="1076"/>
      <c r="G25" s="1077"/>
      <c r="H25" s="1077"/>
      <c r="I25" s="1112"/>
      <c r="J25" s="1103"/>
      <c r="K25" s="1077"/>
      <c r="L25" s="1077"/>
      <c r="M25" s="1077"/>
      <c r="N25" s="1077"/>
      <c r="O25" s="1112"/>
      <c r="P25" s="1108">
        <v>500</v>
      </c>
      <c r="Q25" s="1078"/>
      <c r="R25" s="1078"/>
      <c r="S25" s="1079">
        <v>933</v>
      </c>
      <c r="T25" s="1079"/>
      <c r="U25" s="1116"/>
      <c r="V25" s="1108"/>
      <c r="W25" s="1078"/>
      <c r="X25" s="1078"/>
      <c r="Y25" s="1077"/>
      <c r="Z25" s="1077"/>
      <c r="AA25" s="1112"/>
      <c r="AB25" s="1103"/>
      <c r="AC25" s="1077"/>
      <c r="AD25" s="1077"/>
      <c r="AE25" s="1077"/>
      <c r="AF25" s="1077"/>
      <c r="AG25" s="1112"/>
      <c r="AH25" s="1103"/>
      <c r="AI25" s="1112"/>
      <c r="AJ25" s="1123">
        <f>'ellátottak önk.'!E27</f>
        <v>0</v>
      </c>
      <c r="AK25" s="1081"/>
      <c r="AL25" s="1081"/>
      <c r="AM25" s="1081">
        <v>0</v>
      </c>
      <c r="AN25" s="1081"/>
      <c r="AO25" s="1130"/>
      <c r="AP25" s="1127">
        <f t="shared" si="2"/>
        <v>1433</v>
      </c>
      <c r="AQ25" s="1082"/>
      <c r="AR25" s="1132"/>
      <c r="AS25" s="276"/>
      <c r="AT25" s="276"/>
    </row>
    <row r="26" spans="1:46" s="275" customFormat="1" ht="15" customHeight="1" x14ac:dyDescent="0.2">
      <c r="A26" s="1067"/>
      <c r="B26" s="1071">
        <f t="shared" si="0"/>
        <v>17</v>
      </c>
      <c r="C26" s="1058" t="s">
        <v>1048</v>
      </c>
      <c r="D26" s="1040"/>
      <c r="E26" s="1040"/>
      <c r="F26" s="1040"/>
      <c r="G26" s="1040"/>
      <c r="H26" s="1040"/>
      <c r="I26" s="1113"/>
      <c r="J26" s="1104"/>
      <c r="K26" s="1040"/>
      <c r="L26" s="1040"/>
      <c r="M26" s="1040"/>
      <c r="N26" s="1040"/>
      <c r="O26" s="1113"/>
      <c r="P26" s="1104"/>
      <c r="Q26" s="1040"/>
      <c r="R26" s="1040"/>
      <c r="S26" s="1040">
        <v>20</v>
      </c>
      <c r="T26" s="1040"/>
      <c r="U26" s="1113"/>
      <c r="V26" s="1104"/>
      <c r="W26" s="1040"/>
      <c r="X26" s="1040"/>
      <c r="Y26" s="1040"/>
      <c r="Z26" s="1040"/>
      <c r="AA26" s="1113"/>
      <c r="AB26" s="1104"/>
      <c r="AC26" s="1040"/>
      <c r="AD26" s="1040"/>
      <c r="AE26" s="1040"/>
      <c r="AF26" s="1040"/>
      <c r="AG26" s="1113"/>
      <c r="AH26" s="1104"/>
      <c r="AI26" s="1113"/>
      <c r="AJ26" s="1104"/>
      <c r="AK26" s="1040"/>
      <c r="AL26" s="1040"/>
      <c r="AM26" s="1040"/>
      <c r="AN26" s="1040"/>
      <c r="AO26" s="1113"/>
      <c r="AP26" s="1125">
        <f t="shared" si="1"/>
        <v>20</v>
      </c>
      <c r="AQ26" s="1039"/>
      <c r="AR26" s="1132"/>
      <c r="AS26" s="276"/>
      <c r="AT26" s="276"/>
    </row>
    <row r="27" spans="1:46" s="275" customFormat="1" ht="15" customHeight="1" x14ac:dyDescent="0.2">
      <c r="A27" s="1067"/>
      <c r="B27" s="1071">
        <f t="shared" si="0"/>
        <v>18</v>
      </c>
      <c r="C27" s="1058" t="s">
        <v>1047</v>
      </c>
      <c r="D27" s="1040"/>
      <c r="E27" s="1040"/>
      <c r="F27" s="1040"/>
      <c r="G27" s="1040"/>
      <c r="H27" s="1040"/>
      <c r="I27" s="1113"/>
      <c r="J27" s="1104"/>
      <c r="K27" s="1040"/>
      <c r="L27" s="1040"/>
      <c r="M27" s="1040"/>
      <c r="N27" s="1040"/>
      <c r="O27" s="1113"/>
      <c r="P27" s="1104"/>
      <c r="Q27" s="1040"/>
      <c r="R27" s="1040"/>
      <c r="S27" s="1040">
        <v>120</v>
      </c>
      <c r="T27" s="1040"/>
      <c r="U27" s="1113"/>
      <c r="V27" s="1104"/>
      <c r="W27" s="1040"/>
      <c r="X27" s="1040"/>
      <c r="Y27" s="1040"/>
      <c r="Z27" s="1040"/>
      <c r="AA27" s="1113"/>
      <c r="AB27" s="1104"/>
      <c r="AC27" s="1040"/>
      <c r="AD27" s="1040"/>
      <c r="AE27" s="1040"/>
      <c r="AF27" s="1040"/>
      <c r="AG27" s="1113"/>
      <c r="AH27" s="1104"/>
      <c r="AI27" s="1113"/>
      <c r="AJ27" s="1104"/>
      <c r="AK27" s="1040"/>
      <c r="AL27" s="1040"/>
      <c r="AM27" s="1040"/>
      <c r="AN27" s="1040"/>
      <c r="AO27" s="1113"/>
      <c r="AP27" s="1125">
        <f t="shared" si="1"/>
        <v>120</v>
      </c>
      <c r="AQ27" s="1080"/>
      <c r="AR27" s="1132"/>
      <c r="AS27" s="276"/>
      <c r="AT27" s="276"/>
    </row>
    <row r="28" spans="1:46" s="275" customFormat="1" ht="15" customHeight="1" x14ac:dyDescent="0.2">
      <c r="A28" s="1067"/>
      <c r="B28" s="1071">
        <f t="shared" si="0"/>
        <v>19</v>
      </c>
      <c r="C28" s="1058" t="s">
        <v>1068</v>
      </c>
      <c r="D28" s="1040"/>
      <c r="E28" s="1040"/>
      <c r="F28" s="1040"/>
      <c r="G28" s="1040"/>
      <c r="H28" s="1040"/>
      <c r="I28" s="1113"/>
      <c r="J28" s="1104"/>
      <c r="K28" s="1040"/>
      <c r="L28" s="1040"/>
      <c r="M28" s="1040"/>
      <c r="N28" s="1040"/>
      <c r="O28" s="1113"/>
      <c r="P28" s="1104">
        <v>6431</v>
      </c>
      <c r="Q28" s="1040"/>
      <c r="R28" s="1040"/>
      <c r="S28" s="1040">
        <v>7330</v>
      </c>
      <c r="T28" s="1040"/>
      <c r="U28" s="1113"/>
      <c r="V28" s="1104"/>
      <c r="W28" s="1040"/>
      <c r="X28" s="1040"/>
      <c r="Y28" s="1040"/>
      <c r="Z28" s="1040"/>
      <c r="AA28" s="1113"/>
      <c r="AB28" s="1104"/>
      <c r="AC28" s="1040"/>
      <c r="AD28" s="1040"/>
      <c r="AE28" s="1040"/>
      <c r="AF28" s="1040"/>
      <c r="AG28" s="1113"/>
      <c r="AH28" s="1104"/>
      <c r="AI28" s="1113"/>
      <c r="AJ28" s="1104"/>
      <c r="AK28" s="1040"/>
      <c r="AL28" s="1040"/>
      <c r="AM28" s="1040"/>
      <c r="AN28" s="1040"/>
      <c r="AO28" s="1113"/>
      <c r="AP28" s="1125">
        <f>SUM(D28:AM28)</f>
        <v>13761</v>
      </c>
      <c r="AQ28" s="1080"/>
      <c r="AR28" s="1132"/>
      <c r="AS28" s="276"/>
      <c r="AT28" s="276"/>
    </row>
    <row r="29" spans="1:46" s="275" customFormat="1" ht="15" customHeight="1" x14ac:dyDescent="0.2">
      <c r="A29" s="1067"/>
      <c r="B29" s="1071">
        <f t="shared" si="0"/>
        <v>20</v>
      </c>
      <c r="C29" s="1058" t="s">
        <v>1074</v>
      </c>
      <c r="D29" s="1040"/>
      <c r="E29" s="1040"/>
      <c r="F29" s="1040"/>
      <c r="G29" s="1040"/>
      <c r="H29" s="1040"/>
      <c r="I29" s="1113"/>
      <c r="J29" s="1104"/>
      <c r="K29" s="1040"/>
      <c r="L29" s="1040"/>
      <c r="M29" s="1040"/>
      <c r="N29" s="1040"/>
      <c r="O29" s="1113"/>
      <c r="P29" s="1104"/>
      <c r="Q29" s="1040"/>
      <c r="R29" s="1040"/>
      <c r="S29" s="1040">
        <v>1390</v>
      </c>
      <c r="T29" s="1040"/>
      <c r="U29" s="1113"/>
      <c r="V29" s="1104"/>
      <c r="W29" s="1040"/>
      <c r="X29" s="1040"/>
      <c r="Y29" s="1040"/>
      <c r="Z29" s="1040"/>
      <c r="AA29" s="1113"/>
      <c r="AB29" s="1104"/>
      <c r="AC29" s="1040"/>
      <c r="AD29" s="1040"/>
      <c r="AE29" s="1040"/>
      <c r="AF29" s="1040"/>
      <c r="AG29" s="1113"/>
      <c r="AH29" s="1104"/>
      <c r="AI29" s="1113"/>
      <c r="AJ29" s="1104"/>
      <c r="AK29" s="1040"/>
      <c r="AL29" s="1040"/>
      <c r="AM29" s="1040"/>
      <c r="AN29" s="1040"/>
      <c r="AO29" s="1113"/>
      <c r="AP29" s="1125">
        <f t="shared" si="1"/>
        <v>1390</v>
      </c>
      <c r="AQ29" s="1080"/>
      <c r="AR29" s="1132"/>
      <c r="AS29" s="280"/>
      <c r="AT29" s="276"/>
    </row>
    <row r="30" spans="1:46" s="275" customFormat="1" ht="15" customHeight="1" x14ac:dyDescent="0.2">
      <c r="A30" s="1067"/>
      <c r="B30" s="1071">
        <f t="shared" si="0"/>
        <v>21</v>
      </c>
      <c r="C30" s="1058" t="s">
        <v>1049</v>
      </c>
      <c r="D30" s="1040"/>
      <c r="E30" s="1040"/>
      <c r="F30" s="1040"/>
      <c r="G30" s="1040"/>
      <c r="H30" s="1040"/>
      <c r="I30" s="1113"/>
      <c r="J30" s="1104"/>
      <c r="K30" s="1040"/>
      <c r="L30" s="1040"/>
      <c r="M30" s="1040"/>
      <c r="N30" s="1040"/>
      <c r="O30" s="1113"/>
      <c r="P30" s="1104">
        <v>288</v>
      </c>
      <c r="Q30" s="1040"/>
      <c r="R30" s="1040"/>
      <c r="S30" s="1040">
        <v>13763</v>
      </c>
      <c r="T30" s="1040"/>
      <c r="U30" s="1113"/>
      <c r="V30" s="1104"/>
      <c r="W30" s="1040"/>
      <c r="X30" s="1040"/>
      <c r="Y30" s="1040"/>
      <c r="Z30" s="1040"/>
      <c r="AA30" s="1113"/>
      <c r="AB30" s="1104"/>
      <c r="AC30" s="1040"/>
      <c r="AD30" s="1040"/>
      <c r="AE30" s="1040"/>
      <c r="AF30" s="1040"/>
      <c r="AG30" s="1113"/>
      <c r="AH30" s="1104"/>
      <c r="AI30" s="1113"/>
      <c r="AJ30" s="1104"/>
      <c r="AK30" s="1040"/>
      <c r="AL30" s="1040"/>
      <c r="AM30" s="1040"/>
      <c r="AN30" s="1040"/>
      <c r="AO30" s="1113"/>
      <c r="AP30" s="1125">
        <f t="shared" si="1"/>
        <v>14051</v>
      </c>
      <c r="AQ30" s="1080"/>
      <c r="AR30" s="1132"/>
      <c r="AS30" s="276"/>
      <c r="AT30" s="276"/>
    </row>
    <row r="31" spans="1:46" s="275" customFormat="1" ht="15" customHeight="1" x14ac:dyDescent="0.2">
      <c r="A31" s="1067"/>
      <c r="B31" s="1071">
        <f t="shared" si="0"/>
        <v>22</v>
      </c>
      <c r="C31" s="1058" t="s">
        <v>1050</v>
      </c>
      <c r="D31" s="1040">
        <v>38037</v>
      </c>
      <c r="E31" s="1040"/>
      <c r="F31" s="1040"/>
      <c r="G31" s="1040"/>
      <c r="H31" s="1040"/>
      <c r="I31" s="1113"/>
      <c r="J31" s="1104">
        <v>11893</v>
      </c>
      <c r="K31" s="1040"/>
      <c r="L31" s="1040"/>
      <c r="M31" s="1040"/>
      <c r="N31" s="1040"/>
      <c r="O31" s="1113"/>
      <c r="P31" s="1104">
        <v>1220</v>
      </c>
      <c r="Q31" s="1040"/>
      <c r="R31" s="1040"/>
      <c r="S31" s="1040"/>
      <c r="T31" s="1040"/>
      <c r="U31" s="1113"/>
      <c r="V31" s="1104"/>
      <c r="W31" s="1040"/>
      <c r="X31" s="1040"/>
      <c r="Y31" s="1040"/>
      <c r="Z31" s="1040"/>
      <c r="AA31" s="1113"/>
      <c r="AB31" s="1104"/>
      <c r="AC31" s="1040"/>
      <c r="AD31" s="1040"/>
      <c r="AE31" s="1040"/>
      <c r="AF31" s="1040"/>
      <c r="AG31" s="1113"/>
      <c r="AH31" s="1104"/>
      <c r="AI31" s="1113"/>
      <c r="AJ31" s="1104"/>
      <c r="AK31" s="1040"/>
      <c r="AL31" s="1040"/>
      <c r="AM31" s="1040"/>
      <c r="AN31" s="1040"/>
      <c r="AO31" s="1113"/>
      <c r="AP31" s="1125">
        <f>SUM(D31:AM31)</f>
        <v>51150</v>
      </c>
      <c r="AQ31" s="1039"/>
      <c r="AR31" s="1132"/>
      <c r="AS31" s="276"/>
      <c r="AT31" s="276"/>
    </row>
    <row r="32" spans="1:46" s="275" customFormat="1" ht="15" customHeight="1" x14ac:dyDescent="0.2">
      <c r="A32" s="1067"/>
      <c r="B32" s="1071">
        <f t="shared" si="0"/>
        <v>23</v>
      </c>
      <c r="C32" s="1058" t="s">
        <v>1057</v>
      </c>
      <c r="D32" s="1040">
        <v>26</v>
      </c>
      <c r="E32" s="1040"/>
      <c r="F32" s="1040"/>
      <c r="G32" s="1040"/>
      <c r="H32" s="1040"/>
      <c r="I32" s="1113"/>
      <c r="J32" s="1104">
        <v>22</v>
      </c>
      <c r="K32" s="1040"/>
      <c r="L32" s="1040"/>
      <c r="M32" s="1040"/>
      <c r="N32" s="1040"/>
      <c r="O32" s="1113"/>
      <c r="P32" s="1104">
        <v>3313</v>
      </c>
      <c r="Q32" s="1040"/>
      <c r="R32" s="1040"/>
      <c r="S32" s="1040"/>
      <c r="T32" s="1040"/>
      <c r="U32" s="1113"/>
      <c r="V32" s="1104"/>
      <c r="W32" s="1040"/>
      <c r="X32" s="1040"/>
      <c r="Y32" s="1040"/>
      <c r="Z32" s="1040"/>
      <c r="AA32" s="1113"/>
      <c r="AB32" s="1104"/>
      <c r="AC32" s="1040"/>
      <c r="AD32" s="1040"/>
      <c r="AE32" s="1040"/>
      <c r="AF32" s="1040"/>
      <c r="AG32" s="1113"/>
      <c r="AH32" s="1104"/>
      <c r="AI32" s="1113"/>
      <c r="AJ32" s="1104"/>
      <c r="AK32" s="1040"/>
      <c r="AL32" s="1040"/>
      <c r="AM32" s="1040"/>
      <c r="AN32" s="1040"/>
      <c r="AO32" s="1113"/>
      <c r="AP32" s="1125">
        <f t="shared" si="1"/>
        <v>3361</v>
      </c>
      <c r="AQ32" s="1080"/>
      <c r="AR32" s="1133"/>
      <c r="AS32" s="276"/>
      <c r="AT32" s="276"/>
    </row>
    <row r="33" spans="1:46" s="465" customFormat="1" ht="15" customHeight="1" x14ac:dyDescent="0.2">
      <c r="A33" s="1068"/>
      <c r="B33" s="1071">
        <f t="shared" si="0"/>
        <v>24</v>
      </c>
      <c r="C33" s="1083" t="s">
        <v>1054</v>
      </c>
      <c r="D33" s="1084"/>
      <c r="E33" s="1084"/>
      <c r="F33" s="1084"/>
      <c r="G33" s="1084">
        <f>2200+1000</f>
        <v>3200</v>
      </c>
      <c r="H33" s="1084"/>
      <c r="I33" s="1114"/>
      <c r="J33" s="1105"/>
      <c r="K33" s="1084"/>
      <c r="L33" s="1084"/>
      <c r="M33" s="1084">
        <f>600+200</f>
        <v>800</v>
      </c>
      <c r="N33" s="1084"/>
      <c r="O33" s="1114"/>
      <c r="P33" s="1105"/>
      <c r="Q33" s="1084"/>
      <c r="R33" s="1084"/>
      <c r="S33" s="1084">
        <f>9272+2000</f>
        <v>11272</v>
      </c>
      <c r="T33" s="1084"/>
      <c r="U33" s="1114"/>
      <c r="V33" s="1105"/>
      <c r="W33" s="1084"/>
      <c r="X33" s="1084"/>
      <c r="Y33" s="1084"/>
      <c r="Z33" s="1084"/>
      <c r="AA33" s="1114"/>
      <c r="AB33" s="1105"/>
      <c r="AC33" s="1084"/>
      <c r="AD33" s="1084"/>
      <c r="AE33" s="1084"/>
      <c r="AF33" s="1084"/>
      <c r="AG33" s="1114"/>
      <c r="AH33" s="1105"/>
      <c r="AI33" s="1114"/>
      <c r="AJ33" s="1105"/>
      <c r="AK33" s="1084"/>
      <c r="AL33" s="1084"/>
      <c r="AM33" s="1084"/>
      <c r="AN33" s="1084"/>
      <c r="AO33" s="1114"/>
      <c r="AP33" s="1129">
        <f t="shared" si="1"/>
        <v>15272</v>
      </c>
      <c r="AQ33" s="1085"/>
      <c r="AR33" s="1134"/>
      <c r="AS33" s="464"/>
      <c r="AT33" s="464"/>
    </row>
    <row r="34" spans="1:46" s="275" customFormat="1" ht="15" customHeight="1" x14ac:dyDescent="0.2">
      <c r="A34" s="1067"/>
      <c r="B34" s="1071">
        <f t="shared" si="0"/>
        <v>25</v>
      </c>
      <c r="C34" s="1058" t="s">
        <v>1060</v>
      </c>
      <c r="D34" s="1040"/>
      <c r="E34" s="1040"/>
      <c r="F34" s="1040"/>
      <c r="G34" s="1040"/>
      <c r="H34" s="1040"/>
      <c r="I34" s="1113"/>
      <c r="J34" s="1104"/>
      <c r="K34" s="1040"/>
      <c r="L34" s="1040"/>
      <c r="M34" s="1040"/>
      <c r="N34" s="1040"/>
      <c r="O34" s="1113"/>
      <c r="P34" s="1104">
        <f>20530-5939</f>
        <v>14591</v>
      </c>
      <c r="Q34" s="1040"/>
      <c r="R34" s="1040"/>
      <c r="S34" s="1040"/>
      <c r="T34" s="1040"/>
      <c r="U34" s="1113"/>
      <c r="V34" s="1104"/>
      <c r="W34" s="1040"/>
      <c r="X34" s="1040"/>
      <c r="Y34" s="1040"/>
      <c r="Z34" s="1040"/>
      <c r="AA34" s="1113"/>
      <c r="AB34" s="1104"/>
      <c r="AC34" s="1040"/>
      <c r="AD34" s="1040"/>
      <c r="AE34" s="1040"/>
      <c r="AF34" s="1040"/>
      <c r="AG34" s="1113"/>
      <c r="AH34" s="1104"/>
      <c r="AI34" s="1113"/>
      <c r="AJ34" s="1104"/>
      <c r="AK34" s="1040"/>
      <c r="AL34" s="1040"/>
      <c r="AM34" s="1040"/>
      <c r="AN34" s="1040"/>
      <c r="AO34" s="1113"/>
      <c r="AP34" s="1125">
        <f t="shared" ref="AP34:AP40" si="3">SUM(D34:AM34)</f>
        <v>14591</v>
      </c>
      <c r="AQ34" s="1086"/>
      <c r="AR34" s="1132"/>
      <c r="AS34" s="276"/>
      <c r="AT34" s="276"/>
    </row>
    <row r="35" spans="1:46" s="275" customFormat="1" ht="15" customHeight="1" x14ac:dyDescent="0.2">
      <c r="A35" s="1067"/>
      <c r="B35" s="1071">
        <f t="shared" si="0"/>
        <v>26</v>
      </c>
      <c r="C35" s="1058" t="s">
        <v>1087</v>
      </c>
      <c r="D35" s="1040"/>
      <c r="E35" s="1040"/>
      <c r="F35" s="1040"/>
      <c r="G35" s="1040"/>
      <c r="H35" s="1040"/>
      <c r="I35" s="1113"/>
      <c r="J35" s="1104"/>
      <c r="K35" s="1040"/>
      <c r="L35" s="1040"/>
      <c r="M35" s="1040"/>
      <c r="N35" s="1040"/>
      <c r="O35" s="1113"/>
      <c r="P35" s="1104"/>
      <c r="Q35" s="1040"/>
      <c r="R35" s="1040"/>
      <c r="S35" s="1040"/>
      <c r="T35" s="1040"/>
      <c r="U35" s="1113"/>
      <c r="V35" s="1104"/>
      <c r="W35" s="1040"/>
      <c r="X35" s="1040"/>
      <c r="Y35" s="1040"/>
      <c r="Z35" s="1040"/>
      <c r="AA35" s="1113"/>
      <c r="AB35" s="1104"/>
      <c r="AC35" s="1040"/>
      <c r="AD35" s="1040"/>
      <c r="AE35" s="1040"/>
      <c r="AF35" s="1040"/>
      <c r="AG35" s="1113"/>
      <c r="AH35" s="1104"/>
      <c r="AI35" s="1113"/>
      <c r="AJ35" s="1104"/>
      <c r="AK35" s="1040"/>
      <c r="AL35" s="1040"/>
      <c r="AM35" s="1040"/>
      <c r="AN35" s="1040"/>
      <c r="AO35" s="1113"/>
      <c r="AP35" s="1125">
        <v>0</v>
      </c>
      <c r="AQ35" s="1086"/>
      <c r="AR35" s="1132"/>
      <c r="AS35" s="276"/>
      <c r="AT35" s="276"/>
    </row>
    <row r="36" spans="1:46" s="275" customFormat="1" ht="15" customHeight="1" x14ac:dyDescent="0.2">
      <c r="A36" s="1067"/>
      <c r="B36" s="1071">
        <f t="shared" si="0"/>
        <v>27</v>
      </c>
      <c r="C36" s="1058" t="s">
        <v>1088</v>
      </c>
      <c r="D36" s="1040"/>
      <c r="E36" s="1040"/>
      <c r="F36" s="1040"/>
      <c r="G36" s="1040"/>
      <c r="H36" s="1040"/>
      <c r="I36" s="1113"/>
      <c r="J36" s="1104"/>
      <c r="K36" s="1040"/>
      <c r="L36" s="1040"/>
      <c r="M36" s="1040"/>
      <c r="N36" s="1040"/>
      <c r="O36" s="1113"/>
      <c r="P36" s="1104"/>
      <c r="Q36" s="1040"/>
      <c r="R36" s="1040"/>
      <c r="S36" s="1040"/>
      <c r="T36" s="1040"/>
      <c r="U36" s="1113"/>
      <c r="V36" s="1104"/>
      <c r="W36" s="1040"/>
      <c r="X36" s="1040"/>
      <c r="Y36" s="1040"/>
      <c r="Z36" s="1040"/>
      <c r="AA36" s="1113"/>
      <c r="AB36" s="1104"/>
      <c r="AC36" s="1040"/>
      <c r="AD36" s="1040"/>
      <c r="AE36" s="1040"/>
      <c r="AF36" s="1040"/>
      <c r="AG36" s="1113"/>
      <c r="AH36" s="1104"/>
      <c r="AI36" s="1113"/>
      <c r="AJ36" s="1104"/>
      <c r="AK36" s="1040"/>
      <c r="AL36" s="1040"/>
      <c r="AM36" s="1040"/>
      <c r="AN36" s="1040"/>
      <c r="AO36" s="1113"/>
      <c r="AP36" s="1125">
        <v>0</v>
      </c>
      <c r="AQ36" s="1086"/>
      <c r="AR36" s="1132"/>
      <c r="AS36" s="276"/>
      <c r="AT36" s="276"/>
    </row>
    <row r="37" spans="1:46" s="275" customFormat="1" ht="15" customHeight="1" x14ac:dyDescent="0.2">
      <c r="A37" s="1067"/>
      <c r="B37" s="1071">
        <f t="shared" si="0"/>
        <v>28</v>
      </c>
      <c r="C37" s="1058" t="s">
        <v>1056</v>
      </c>
      <c r="D37" s="1040"/>
      <c r="E37" s="1040"/>
      <c r="F37" s="1040"/>
      <c r="G37" s="1040"/>
      <c r="H37" s="1040"/>
      <c r="I37" s="1113"/>
      <c r="J37" s="1104"/>
      <c r="K37" s="1040"/>
      <c r="L37" s="1040"/>
      <c r="M37" s="1040"/>
      <c r="N37" s="1040"/>
      <c r="O37" s="1113"/>
      <c r="P37" s="1104">
        <v>6833</v>
      </c>
      <c r="Q37" s="1040"/>
      <c r="R37" s="1040"/>
      <c r="S37" s="1040"/>
      <c r="T37" s="1040"/>
      <c r="U37" s="1113"/>
      <c r="V37" s="1104"/>
      <c r="W37" s="1040"/>
      <c r="X37" s="1040"/>
      <c r="Y37" s="1040"/>
      <c r="Z37" s="1040"/>
      <c r="AA37" s="1113"/>
      <c r="AB37" s="1104"/>
      <c r="AC37" s="1040"/>
      <c r="AD37" s="1040"/>
      <c r="AE37" s="1040"/>
      <c r="AF37" s="1040"/>
      <c r="AG37" s="1113"/>
      <c r="AH37" s="1104"/>
      <c r="AI37" s="1113"/>
      <c r="AJ37" s="1104"/>
      <c r="AK37" s="1040"/>
      <c r="AL37" s="1040"/>
      <c r="AM37" s="1040"/>
      <c r="AN37" s="1040"/>
      <c r="AO37" s="1113"/>
      <c r="AP37" s="1125">
        <f t="shared" si="3"/>
        <v>6833</v>
      </c>
      <c r="AQ37" s="1086"/>
      <c r="AR37" s="1132"/>
      <c r="AS37" s="276"/>
      <c r="AT37" s="276"/>
    </row>
    <row r="38" spans="1:46" s="275" customFormat="1" ht="15" customHeight="1" x14ac:dyDescent="0.2">
      <c r="A38" s="1067"/>
      <c r="B38" s="1071">
        <f t="shared" si="0"/>
        <v>29</v>
      </c>
      <c r="C38" s="1058" t="s">
        <v>1061</v>
      </c>
      <c r="D38" s="1040"/>
      <c r="E38" s="1040"/>
      <c r="F38" s="1040"/>
      <c r="G38" s="1040"/>
      <c r="H38" s="1040"/>
      <c r="I38" s="1113"/>
      <c r="J38" s="1104"/>
      <c r="K38" s="1040"/>
      <c r="L38" s="1040"/>
      <c r="M38" s="1040"/>
      <c r="N38" s="1040"/>
      <c r="O38" s="1113"/>
      <c r="P38" s="1104">
        <f>55738+2334-250</f>
        <v>57822</v>
      </c>
      <c r="Q38" s="1040"/>
      <c r="R38" s="1040"/>
      <c r="S38" s="1040"/>
      <c r="T38" s="1040"/>
      <c r="U38" s="1113"/>
      <c r="V38" s="1104"/>
      <c r="W38" s="1040"/>
      <c r="X38" s="1040"/>
      <c r="Y38" s="1040"/>
      <c r="Z38" s="1040"/>
      <c r="AA38" s="1113"/>
      <c r="AB38" s="1104"/>
      <c r="AC38" s="1040"/>
      <c r="AD38" s="1040"/>
      <c r="AE38" s="1040"/>
      <c r="AF38" s="1040"/>
      <c r="AG38" s="1113"/>
      <c r="AH38" s="1104"/>
      <c r="AI38" s="1113"/>
      <c r="AJ38" s="1104"/>
      <c r="AK38" s="1040"/>
      <c r="AL38" s="1040"/>
      <c r="AM38" s="1040"/>
      <c r="AN38" s="1040"/>
      <c r="AO38" s="1113"/>
      <c r="AP38" s="1125">
        <f t="shared" si="3"/>
        <v>57822</v>
      </c>
      <c r="AQ38" s="1086"/>
      <c r="AR38" s="1132"/>
      <c r="AS38" s="276"/>
      <c r="AT38" s="276"/>
    </row>
    <row r="39" spans="1:46" s="275" customFormat="1" ht="24" customHeight="1" x14ac:dyDescent="0.2">
      <c r="A39" s="1067"/>
      <c r="B39" s="1071">
        <f t="shared" si="0"/>
        <v>30</v>
      </c>
      <c r="C39" s="1072" t="s">
        <v>1193</v>
      </c>
      <c r="D39" s="1087"/>
      <c r="E39" s="1087"/>
      <c r="F39" s="1087"/>
      <c r="G39" s="1087"/>
      <c r="H39" s="1087"/>
      <c r="I39" s="1115"/>
      <c r="J39" s="1106"/>
      <c r="K39" s="1087"/>
      <c r="L39" s="1087"/>
      <c r="M39" s="1087"/>
      <c r="N39" s="1087"/>
      <c r="O39" s="1115"/>
      <c r="P39" s="1106">
        <v>5000</v>
      </c>
      <c r="Q39" s="1087"/>
      <c r="R39" s="1087"/>
      <c r="S39" s="1087"/>
      <c r="T39" s="1087"/>
      <c r="U39" s="1115"/>
      <c r="V39" s="1106"/>
      <c r="W39" s="1087"/>
      <c r="X39" s="1087"/>
      <c r="Y39" s="1087"/>
      <c r="Z39" s="1087"/>
      <c r="AA39" s="1115"/>
      <c r="AB39" s="1106"/>
      <c r="AC39" s="1087"/>
      <c r="AD39" s="1087"/>
      <c r="AE39" s="1087"/>
      <c r="AF39" s="1087"/>
      <c r="AG39" s="1115"/>
      <c r="AH39" s="1106"/>
      <c r="AI39" s="1115"/>
      <c r="AJ39" s="1106"/>
      <c r="AK39" s="1087"/>
      <c r="AL39" s="1087"/>
      <c r="AM39" s="1087"/>
      <c r="AN39" s="1087"/>
      <c r="AO39" s="1115"/>
      <c r="AP39" s="1126">
        <f t="shared" si="3"/>
        <v>5000</v>
      </c>
      <c r="AQ39" s="1086"/>
      <c r="AR39" s="1132"/>
      <c r="AS39" s="276"/>
      <c r="AT39" s="276"/>
    </row>
    <row r="40" spans="1:46" s="275" customFormat="1" ht="24" customHeight="1" x14ac:dyDescent="0.2">
      <c r="A40" s="1067"/>
      <c r="B40" s="1071">
        <f t="shared" si="0"/>
        <v>31</v>
      </c>
      <c r="C40" s="1088" t="s">
        <v>1194</v>
      </c>
      <c r="D40" s="1079"/>
      <c r="E40" s="1079"/>
      <c r="F40" s="1079"/>
      <c r="G40" s="1079"/>
      <c r="H40" s="1079"/>
      <c r="I40" s="1116"/>
      <c r="J40" s="1107"/>
      <c r="K40" s="1079"/>
      <c r="L40" s="1079"/>
      <c r="M40" s="1079"/>
      <c r="N40" s="1079"/>
      <c r="O40" s="1116"/>
      <c r="P40" s="1107">
        <v>63500</v>
      </c>
      <c r="Q40" s="1079"/>
      <c r="R40" s="1079"/>
      <c r="S40" s="1079"/>
      <c r="T40" s="1079"/>
      <c r="U40" s="1116"/>
      <c r="V40" s="1107"/>
      <c r="W40" s="1079"/>
      <c r="X40" s="1079"/>
      <c r="Y40" s="1079"/>
      <c r="Z40" s="1079"/>
      <c r="AA40" s="1116"/>
      <c r="AB40" s="1107"/>
      <c r="AC40" s="1079"/>
      <c r="AD40" s="1079"/>
      <c r="AE40" s="1079"/>
      <c r="AF40" s="1079"/>
      <c r="AG40" s="1116"/>
      <c r="AH40" s="1107"/>
      <c r="AI40" s="1116"/>
      <c r="AJ40" s="1107"/>
      <c r="AK40" s="1079"/>
      <c r="AL40" s="1079"/>
      <c r="AM40" s="1079"/>
      <c r="AN40" s="1079"/>
      <c r="AO40" s="1116"/>
      <c r="AP40" s="1127">
        <f t="shared" si="3"/>
        <v>63500</v>
      </c>
      <c r="AQ40" s="1086"/>
      <c r="AR40" s="1132"/>
      <c r="AS40" s="276"/>
      <c r="AT40" s="276"/>
    </row>
    <row r="41" spans="1:46" s="275" customFormat="1" ht="15" customHeight="1" x14ac:dyDescent="0.2">
      <c r="A41" s="1067"/>
      <c r="B41" s="1071">
        <f t="shared" si="0"/>
        <v>32</v>
      </c>
      <c r="C41" s="1058" t="s">
        <v>1055</v>
      </c>
      <c r="D41" s="1040"/>
      <c r="E41" s="1040"/>
      <c r="F41" s="1040"/>
      <c r="G41" s="1040"/>
      <c r="H41" s="1040"/>
      <c r="I41" s="1113"/>
      <c r="J41" s="1104"/>
      <c r="K41" s="1040"/>
      <c r="L41" s="1040"/>
      <c r="M41" s="1040"/>
      <c r="N41" s="1040"/>
      <c r="O41" s="1113"/>
      <c r="P41" s="1104"/>
      <c r="Q41" s="1040"/>
      <c r="R41" s="1040"/>
      <c r="S41" s="1040">
        <v>12218</v>
      </c>
      <c r="T41" s="1040"/>
      <c r="U41" s="1113"/>
      <c r="V41" s="1104"/>
      <c r="W41" s="1040"/>
      <c r="X41" s="1040"/>
      <c r="Y41" s="1040"/>
      <c r="Z41" s="1040"/>
      <c r="AA41" s="1113"/>
      <c r="AB41" s="1104"/>
      <c r="AC41" s="1040"/>
      <c r="AD41" s="1040"/>
      <c r="AE41" s="1040"/>
      <c r="AF41" s="1040"/>
      <c r="AG41" s="1113"/>
      <c r="AH41" s="1104"/>
      <c r="AI41" s="1113"/>
      <c r="AJ41" s="1104"/>
      <c r="AK41" s="1040"/>
      <c r="AL41" s="1040"/>
      <c r="AM41" s="1040"/>
      <c r="AN41" s="1040"/>
      <c r="AO41" s="1113"/>
      <c r="AP41" s="1125">
        <f t="shared" si="1"/>
        <v>12218</v>
      </c>
      <c r="AQ41" s="1086"/>
      <c r="AR41" s="1132"/>
      <c r="AS41" s="276"/>
      <c r="AT41" s="276"/>
    </row>
    <row r="42" spans="1:46" s="275" customFormat="1" ht="17.25" customHeight="1" x14ac:dyDescent="0.2">
      <c r="A42" s="1067"/>
      <c r="B42" s="1071">
        <f t="shared" si="0"/>
        <v>33</v>
      </c>
      <c r="C42" s="1088" t="s">
        <v>1062</v>
      </c>
      <c r="D42" s="1040"/>
      <c r="E42" s="1040"/>
      <c r="F42" s="1040"/>
      <c r="G42" s="1079">
        <f>1600+200</f>
        <v>1800</v>
      </c>
      <c r="H42" s="1079"/>
      <c r="I42" s="1116"/>
      <c r="J42" s="1107"/>
      <c r="K42" s="1079"/>
      <c r="L42" s="1079"/>
      <c r="M42" s="1079">
        <v>432</v>
      </c>
      <c r="N42" s="1079"/>
      <c r="O42" s="1116"/>
      <c r="P42" s="1107">
        <v>350</v>
      </c>
      <c r="Q42" s="1079"/>
      <c r="R42" s="1079"/>
      <c r="S42" s="1079"/>
      <c r="T42" s="1079"/>
      <c r="U42" s="1116"/>
      <c r="V42" s="1107"/>
      <c r="W42" s="1079"/>
      <c r="X42" s="1079"/>
      <c r="Y42" s="1079"/>
      <c r="Z42" s="1079"/>
      <c r="AA42" s="1116"/>
      <c r="AB42" s="1107"/>
      <c r="AC42" s="1079"/>
      <c r="AD42" s="1079"/>
      <c r="AE42" s="1079"/>
      <c r="AF42" s="1079"/>
      <c r="AG42" s="1116"/>
      <c r="AH42" s="1107"/>
      <c r="AI42" s="1116"/>
      <c r="AJ42" s="1107"/>
      <c r="AK42" s="1079"/>
      <c r="AL42" s="1079"/>
      <c r="AM42" s="1079"/>
      <c r="AN42" s="1079"/>
      <c r="AO42" s="1116"/>
      <c r="AP42" s="1127">
        <f t="shared" ref="AP42:AP47" si="4">SUM(D42:AM42)</f>
        <v>2582</v>
      </c>
      <c r="AQ42" s="1086"/>
      <c r="AR42" s="1132"/>
      <c r="AS42" s="276"/>
      <c r="AT42" s="276"/>
    </row>
    <row r="43" spans="1:46" s="275" customFormat="1" ht="15" customHeight="1" x14ac:dyDescent="0.2">
      <c r="A43" s="1067"/>
      <c r="B43" s="1071">
        <f t="shared" si="0"/>
        <v>34</v>
      </c>
      <c r="C43" s="1058" t="s">
        <v>1051</v>
      </c>
      <c r="D43" s="1040"/>
      <c r="E43" s="1040"/>
      <c r="F43" s="1040"/>
      <c r="G43" s="1040">
        <v>10000</v>
      </c>
      <c r="H43" s="1040"/>
      <c r="I43" s="1113"/>
      <c r="J43" s="1104"/>
      <c r="K43" s="1040"/>
      <c r="L43" s="1040"/>
      <c r="M43" s="1040">
        <v>5000</v>
      </c>
      <c r="N43" s="1040"/>
      <c r="O43" s="1113"/>
      <c r="P43" s="1104"/>
      <c r="Q43" s="1040"/>
      <c r="R43" s="1040"/>
      <c r="S43" s="1040">
        <v>15216</v>
      </c>
      <c r="T43" s="1040"/>
      <c r="U43" s="1113"/>
      <c r="V43" s="1104"/>
      <c r="W43" s="1040"/>
      <c r="X43" s="1040"/>
      <c r="Y43" s="1040"/>
      <c r="Z43" s="1040"/>
      <c r="AA43" s="1113"/>
      <c r="AB43" s="1104"/>
      <c r="AC43" s="1040"/>
      <c r="AD43" s="1040"/>
      <c r="AE43" s="1040"/>
      <c r="AF43" s="1040"/>
      <c r="AG43" s="1113"/>
      <c r="AH43" s="1104"/>
      <c r="AI43" s="1113"/>
      <c r="AJ43" s="1104"/>
      <c r="AK43" s="1040"/>
      <c r="AL43" s="1040"/>
      <c r="AM43" s="1040"/>
      <c r="AN43" s="1040"/>
      <c r="AO43" s="1113"/>
      <c r="AP43" s="1125">
        <f t="shared" si="4"/>
        <v>30216</v>
      </c>
      <c r="AQ43" s="1086"/>
      <c r="AR43" s="1132"/>
      <c r="AS43" s="276"/>
      <c r="AT43" s="276"/>
    </row>
    <row r="44" spans="1:46" s="275" customFormat="1" ht="15" customHeight="1" x14ac:dyDescent="0.2">
      <c r="A44" s="1067"/>
      <c r="B44" s="1071">
        <f t="shared" si="0"/>
        <v>35</v>
      </c>
      <c r="C44" s="1058" t="s">
        <v>1052</v>
      </c>
      <c r="D44" s="1040"/>
      <c r="E44" s="1040"/>
      <c r="F44" s="1040"/>
      <c r="G44" s="1040"/>
      <c r="H44" s="1040"/>
      <c r="I44" s="1113"/>
      <c r="J44" s="1104"/>
      <c r="K44" s="1040"/>
      <c r="L44" s="1040"/>
      <c r="M44" s="1040"/>
      <c r="N44" s="1040"/>
      <c r="O44" s="1113"/>
      <c r="P44" s="1104"/>
      <c r="Q44" s="1040"/>
      <c r="R44" s="1040"/>
      <c r="S44" s="1040">
        <v>3000</v>
      </c>
      <c r="T44" s="1040"/>
      <c r="U44" s="1113"/>
      <c r="V44" s="1104"/>
      <c r="W44" s="1040"/>
      <c r="X44" s="1040"/>
      <c r="Y44" s="1040"/>
      <c r="Z44" s="1040"/>
      <c r="AA44" s="1113"/>
      <c r="AB44" s="1104"/>
      <c r="AC44" s="1040"/>
      <c r="AD44" s="1040"/>
      <c r="AE44" s="1040"/>
      <c r="AF44" s="1040"/>
      <c r="AG44" s="1113"/>
      <c r="AH44" s="1104"/>
      <c r="AI44" s="1113"/>
      <c r="AJ44" s="1104"/>
      <c r="AK44" s="1040"/>
      <c r="AL44" s="1040"/>
      <c r="AM44" s="1040"/>
      <c r="AN44" s="1040"/>
      <c r="AO44" s="1113"/>
      <c r="AP44" s="1125">
        <f t="shared" si="4"/>
        <v>3000</v>
      </c>
      <c r="AQ44" s="1086"/>
      <c r="AR44" s="1132"/>
      <c r="AS44" s="276"/>
      <c r="AT44" s="276"/>
    </row>
    <row r="45" spans="1:46" s="275" customFormat="1" ht="15" customHeight="1" x14ac:dyDescent="0.2">
      <c r="A45" s="1067"/>
      <c r="B45" s="1071">
        <f t="shared" si="0"/>
        <v>36</v>
      </c>
      <c r="C45" s="1058" t="s">
        <v>1179</v>
      </c>
      <c r="D45" s="1040"/>
      <c r="E45" s="1040"/>
      <c r="F45" s="1040"/>
      <c r="G45" s="1040"/>
      <c r="H45" s="1040"/>
      <c r="I45" s="1113"/>
      <c r="J45" s="1104"/>
      <c r="K45" s="1040"/>
      <c r="L45" s="1040"/>
      <c r="M45" s="1040"/>
      <c r="N45" s="1040"/>
      <c r="O45" s="1113"/>
      <c r="P45" s="1104">
        <v>140</v>
      </c>
      <c r="Q45" s="1040"/>
      <c r="R45" s="1040"/>
      <c r="S45" s="1040">
        <v>6607</v>
      </c>
      <c r="T45" s="1040"/>
      <c r="U45" s="1113"/>
      <c r="V45" s="1104"/>
      <c r="W45" s="1040"/>
      <c r="X45" s="1040"/>
      <c r="Y45" s="1040"/>
      <c r="Z45" s="1040"/>
      <c r="AA45" s="1113"/>
      <c r="AB45" s="1104"/>
      <c r="AC45" s="1040"/>
      <c r="AD45" s="1040"/>
      <c r="AE45" s="1040"/>
      <c r="AF45" s="1040"/>
      <c r="AG45" s="1113"/>
      <c r="AH45" s="1104"/>
      <c r="AI45" s="1113"/>
      <c r="AJ45" s="1104"/>
      <c r="AK45" s="1040"/>
      <c r="AL45" s="1040"/>
      <c r="AM45" s="1040"/>
      <c r="AN45" s="1040"/>
      <c r="AO45" s="1113"/>
      <c r="AP45" s="1125">
        <f t="shared" si="4"/>
        <v>6747</v>
      </c>
      <c r="AQ45" s="1086"/>
      <c r="AR45" s="1132"/>
      <c r="AS45" s="276"/>
      <c r="AT45" s="276"/>
    </row>
    <row r="46" spans="1:46" s="275" customFormat="1" ht="25.5" customHeight="1" x14ac:dyDescent="0.2">
      <c r="A46" s="1067"/>
      <c r="B46" s="1071">
        <f t="shared" si="0"/>
        <v>37</v>
      </c>
      <c r="C46" s="1088" t="s">
        <v>1180</v>
      </c>
      <c r="D46" s="1040"/>
      <c r="E46" s="1040"/>
      <c r="F46" s="1040"/>
      <c r="G46" s="1040"/>
      <c r="H46" s="1040"/>
      <c r="I46" s="1113"/>
      <c r="J46" s="1104"/>
      <c r="K46" s="1040"/>
      <c r="L46" s="1040"/>
      <c r="M46" s="1040"/>
      <c r="N46" s="1040"/>
      <c r="O46" s="1113"/>
      <c r="P46" s="1104">
        <v>10500</v>
      </c>
      <c r="Q46" s="1040"/>
      <c r="R46" s="1040"/>
      <c r="S46" s="1040"/>
      <c r="T46" s="1040"/>
      <c r="U46" s="1113"/>
      <c r="V46" s="1104"/>
      <c r="W46" s="1040"/>
      <c r="X46" s="1040"/>
      <c r="Y46" s="1040"/>
      <c r="Z46" s="1040"/>
      <c r="AA46" s="1113"/>
      <c r="AB46" s="1104"/>
      <c r="AC46" s="1040"/>
      <c r="AD46" s="1040"/>
      <c r="AE46" s="1040"/>
      <c r="AF46" s="1040"/>
      <c r="AG46" s="1113"/>
      <c r="AH46" s="1104"/>
      <c r="AI46" s="1113"/>
      <c r="AJ46" s="1104"/>
      <c r="AK46" s="1040"/>
      <c r="AL46" s="1040"/>
      <c r="AM46" s="1040"/>
      <c r="AN46" s="1040"/>
      <c r="AO46" s="1113"/>
      <c r="AP46" s="1125">
        <f t="shared" si="4"/>
        <v>10500</v>
      </c>
      <c r="AQ46" s="1086"/>
      <c r="AR46" s="1132"/>
      <c r="AS46" s="276"/>
      <c r="AT46" s="276"/>
    </row>
    <row r="47" spans="1:46" s="275" customFormat="1" ht="15" customHeight="1" x14ac:dyDescent="0.2">
      <c r="A47" s="1067"/>
      <c r="B47" s="1071">
        <f t="shared" si="0"/>
        <v>38</v>
      </c>
      <c r="C47" s="1072" t="s">
        <v>1058</v>
      </c>
      <c r="D47" s="1078">
        <v>8796</v>
      </c>
      <c r="E47" s="1078"/>
      <c r="F47" s="1078"/>
      <c r="G47" s="1078">
        <v>645</v>
      </c>
      <c r="H47" s="1078"/>
      <c r="I47" s="1117"/>
      <c r="J47" s="1108">
        <v>2437</v>
      </c>
      <c r="K47" s="1078"/>
      <c r="L47" s="1078"/>
      <c r="M47" s="1040">
        <v>154</v>
      </c>
      <c r="N47" s="1040"/>
      <c r="O47" s="1113"/>
      <c r="P47" s="1108">
        <f>15897+548</f>
        <v>16445</v>
      </c>
      <c r="Q47" s="1078"/>
      <c r="R47" s="1078"/>
      <c r="S47" s="1078"/>
      <c r="T47" s="1078"/>
      <c r="U47" s="1117"/>
      <c r="V47" s="1108"/>
      <c r="W47" s="1078"/>
      <c r="X47" s="1078"/>
      <c r="Y47" s="1077"/>
      <c r="Z47" s="1077"/>
      <c r="AA47" s="1112"/>
      <c r="AB47" s="1103"/>
      <c r="AC47" s="1077"/>
      <c r="AD47" s="1077"/>
      <c r="AE47" s="1077"/>
      <c r="AF47" s="1077"/>
      <c r="AG47" s="1112"/>
      <c r="AH47" s="1103"/>
      <c r="AI47" s="1112"/>
      <c r="AJ47" s="1103"/>
      <c r="AK47" s="1077"/>
      <c r="AL47" s="1077"/>
      <c r="AM47" s="1077"/>
      <c r="AN47" s="1077"/>
      <c r="AO47" s="1112"/>
      <c r="AP47" s="1125">
        <f t="shared" si="4"/>
        <v>28477</v>
      </c>
      <c r="AQ47" s="1086"/>
      <c r="AR47" s="1132"/>
      <c r="AS47" s="276"/>
      <c r="AT47" s="276"/>
    </row>
    <row r="48" spans="1:46" s="275" customFormat="1" ht="15" customHeight="1" x14ac:dyDescent="0.2">
      <c r="A48" s="1067"/>
      <c r="B48" s="1071">
        <f t="shared" si="0"/>
        <v>39</v>
      </c>
      <c r="C48" s="1058" t="s">
        <v>1053</v>
      </c>
      <c r="D48" s="1040"/>
      <c r="E48" s="1040"/>
      <c r="F48" s="1040"/>
      <c r="G48" s="1040">
        <f>12414+50+1482+50+2000</f>
        <v>15996</v>
      </c>
      <c r="H48" s="1040"/>
      <c r="I48" s="1113"/>
      <c r="J48" s="1104"/>
      <c r="K48" s="1040"/>
      <c r="L48" s="1040"/>
      <c r="M48" s="1040">
        <f>G48*0.42</f>
        <v>6718.32</v>
      </c>
      <c r="N48" s="1040"/>
      <c r="O48" s="1113"/>
      <c r="P48" s="1104"/>
      <c r="Q48" s="1040"/>
      <c r="R48" s="1040"/>
      <c r="S48" s="1040">
        <f>3153+241</f>
        <v>3394</v>
      </c>
      <c r="T48" s="1040"/>
      <c r="U48" s="1113"/>
      <c r="V48" s="1104"/>
      <c r="W48" s="1040"/>
      <c r="X48" s="1040"/>
      <c r="Y48" s="1040"/>
      <c r="Z48" s="1040"/>
      <c r="AA48" s="1113"/>
      <c r="AB48" s="1104"/>
      <c r="AC48" s="1040"/>
      <c r="AD48" s="1040"/>
      <c r="AE48" s="1040"/>
      <c r="AF48" s="1040"/>
      <c r="AG48" s="1113"/>
      <c r="AH48" s="1104"/>
      <c r="AI48" s="1113"/>
      <c r="AJ48" s="1104"/>
      <c r="AK48" s="1040"/>
      <c r="AL48" s="1040"/>
      <c r="AM48" s="1040"/>
      <c r="AN48" s="1040"/>
      <c r="AO48" s="1113"/>
      <c r="AP48" s="1125">
        <f t="shared" si="1"/>
        <v>26108.32</v>
      </c>
      <c r="AQ48" s="1086"/>
      <c r="AR48" s="1132"/>
      <c r="AS48" s="276"/>
      <c r="AT48" s="276"/>
    </row>
    <row r="49" spans="1:46" s="275" customFormat="1" ht="15" customHeight="1" x14ac:dyDescent="0.2">
      <c r="A49" s="1067"/>
      <c r="B49" s="1071">
        <f t="shared" si="0"/>
        <v>40</v>
      </c>
      <c r="C49" s="1058" t="s">
        <v>1149</v>
      </c>
      <c r="D49" s="1089"/>
      <c r="E49" s="1089"/>
      <c r="F49" s="1089"/>
      <c r="G49" s="1040">
        <v>1807</v>
      </c>
      <c r="H49" s="1040"/>
      <c r="I49" s="1113"/>
      <c r="J49" s="1104"/>
      <c r="K49" s="1040"/>
      <c r="L49" s="1040"/>
      <c r="M49" s="1040">
        <v>398</v>
      </c>
      <c r="N49" s="1040"/>
      <c r="O49" s="1113"/>
      <c r="P49" s="1104"/>
      <c r="Q49" s="1040"/>
      <c r="R49" s="1040"/>
      <c r="S49" s="1040">
        <v>22311</v>
      </c>
      <c r="T49" s="1040"/>
      <c r="U49" s="1113"/>
      <c r="V49" s="1120"/>
      <c r="W49" s="1090"/>
      <c r="X49" s="1090"/>
      <c r="Y49" s="1090"/>
      <c r="Z49" s="1090"/>
      <c r="AA49" s="1122"/>
      <c r="AB49" s="1120"/>
      <c r="AC49" s="1090"/>
      <c r="AD49" s="1090"/>
      <c r="AE49" s="1090"/>
      <c r="AF49" s="1090"/>
      <c r="AG49" s="1122"/>
      <c r="AH49" s="1120"/>
      <c r="AI49" s="1122"/>
      <c r="AJ49" s="1120"/>
      <c r="AK49" s="1090"/>
      <c r="AL49" s="1090"/>
      <c r="AM49" s="1090"/>
      <c r="AN49" s="1090"/>
      <c r="AO49" s="1122"/>
      <c r="AP49" s="1125">
        <f>SUM(D49:AM49)</f>
        <v>24516</v>
      </c>
      <c r="AQ49" s="1086"/>
      <c r="AR49" s="1132"/>
      <c r="AS49" s="276"/>
      <c r="AT49" s="276"/>
    </row>
    <row r="50" spans="1:46" s="275" customFormat="1" ht="15" customHeight="1" x14ac:dyDescent="0.2">
      <c r="A50" s="1067"/>
      <c r="B50" s="1071">
        <f t="shared" si="0"/>
        <v>41</v>
      </c>
      <c r="C50" s="1058" t="s">
        <v>1044</v>
      </c>
      <c r="D50" s="1040"/>
      <c r="E50" s="1040"/>
      <c r="F50" s="1040"/>
      <c r="G50" s="1040"/>
      <c r="H50" s="1040"/>
      <c r="I50" s="1113"/>
      <c r="J50" s="1104"/>
      <c r="K50" s="1040"/>
      <c r="L50" s="1040"/>
      <c r="M50" s="1040"/>
      <c r="N50" s="1040"/>
      <c r="O50" s="1113"/>
      <c r="P50" s="1104"/>
      <c r="Q50" s="1040"/>
      <c r="R50" s="1040"/>
      <c r="S50" s="1040"/>
      <c r="T50" s="1040"/>
      <c r="U50" s="1113"/>
      <c r="V50" s="1104">
        <f>mc.pe.átad!D21</f>
        <v>7750</v>
      </c>
      <c r="W50" s="1040"/>
      <c r="X50" s="1040"/>
      <c r="Y50" s="1040">
        <f>mc.pe.átad!E55</f>
        <v>40162</v>
      </c>
      <c r="Z50" s="1040"/>
      <c r="AA50" s="1113"/>
      <c r="AB50" s="1104">
        <f>mc.pe.átad!D56</f>
        <v>266185</v>
      </c>
      <c r="AC50" s="1040"/>
      <c r="AD50" s="1040"/>
      <c r="AE50" s="1040">
        <f>mc.pe.átad!E56</f>
        <v>19908</v>
      </c>
      <c r="AF50" s="1040"/>
      <c r="AG50" s="1113"/>
      <c r="AH50" s="1104"/>
      <c r="AI50" s="1113"/>
      <c r="AJ50" s="1104"/>
      <c r="AK50" s="1040"/>
      <c r="AL50" s="1040"/>
      <c r="AM50" s="1040"/>
      <c r="AN50" s="1040"/>
      <c r="AO50" s="1113"/>
      <c r="AP50" s="1125">
        <f t="shared" si="1"/>
        <v>334005</v>
      </c>
      <c r="AQ50" s="1080"/>
      <c r="AR50" s="1132"/>
      <c r="AS50" s="276"/>
      <c r="AT50" s="276"/>
    </row>
    <row r="51" spans="1:46" s="275" customFormat="1" ht="15" customHeight="1" x14ac:dyDescent="0.2">
      <c r="A51" s="1067"/>
      <c r="B51" s="1071">
        <f t="shared" si="0"/>
        <v>42</v>
      </c>
      <c r="C51" s="1058" t="s">
        <v>1043</v>
      </c>
      <c r="D51" s="1040"/>
      <c r="E51" s="1040"/>
      <c r="F51" s="1040"/>
      <c r="G51" s="1040"/>
      <c r="H51" s="1040"/>
      <c r="I51" s="1113"/>
      <c r="J51" s="1104"/>
      <c r="K51" s="1040"/>
      <c r="L51" s="1040"/>
      <c r="M51" s="1040"/>
      <c r="N51" s="1040"/>
      <c r="O51" s="1113"/>
      <c r="P51" s="1104">
        <v>3675</v>
      </c>
      <c r="Q51" s="1040"/>
      <c r="R51" s="1040"/>
      <c r="S51" s="1040"/>
      <c r="T51" s="1040"/>
      <c r="U51" s="1113"/>
      <c r="V51" s="1104"/>
      <c r="W51" s="1040"/>
      <c r="X51" s="1040"/>
      <c r="Y51" s="1040"/>
      <c r="Z51" s="1040"/>
      <c r="AA51" s="1113"/>
      <c r="AB51" s="1104"/>
      <c r="AC51" s="1040"/>
      <c r="AD51" s="1040"/>
      <c r="AE51" s="1040"/>
      <c r="AF51" s="1040"/>
      <c r="AG51" s="1113"/>
      <c r="AH51" s="1104"/>
      <c r="AI51" s="1113"/>
      <c r="AJ51" s="1104"/>
      <c r="AK51" s="1040"/>
      <c r="AL51" s="1040"/>
      <c r="AM51" s="1040"/>
      <c r="AN51" s="1040"/>
      <c r="AO51" s="1113"/>
      <c r="AP51" s="1125">
        <f t="shared" si="1"/>
        <v>3675</v>
      </c>
      <c r="AQ51" s="1039"/>
      <c r="AR51" s="1132"/>
      <c r="AS51" s="276"/>
      <c r="AT51" s="276"/>
    </row>
    <row r="52" spans="1:46" s="275" customFormat="1" ht="15" customHeight="1" x14ac:dyDescent="0.2">
      <c r="A52" s="1067"/>
      <c r="B52" s="1071">
        <f t="shared" si="0"/>
        <v>43</v>
      </c>
      <c r="C52" s="1091" t="s">
        <v>1069</v>
      </c>
      <c r="D52" s="1079"/>
      <c r="E52" s="1079"/>
      <c r="F52" s="1079"/>
      <c r="G52" s="1079"/>
      <c r="H52" s="1079"/>
      <c r="I52" s="1116"/>
      <c r="J52" s="1107"/>
      <c r="K52" s="1079"/>
      <c r="L52" s="1079"/>
      <c r="M52" s="1079"/>
      <c r="N52" s="1079"/>
      <c r="O52" s="1116"/>
      <c r="P52" s="1107"/>
      <c r="Q52" s="1079"/>
      <c r="R52" s="1079"/>
      <c r="S52" s="1079">
        <f>2515+1134</f>
        <v>3649</v>
      </c>
      <c r="T52" s="1079"/>
      <c r="U52" s="1116"/>
      <c r="V52" s="1107"/>
      <c r="W52" s="1079"/>
      <c r="X52" s="1079"/>
      <c r="Y52" s="1079"/>
      <c r="Z52" s="1079"/>
      <c r="AA52" s="1116"/>
      <c r="AB52" s="1107"/>
      <c r="AC52" s="1079"/>
      <c r="AD52" s="1079"/>
      <c r="AE52" s="1079"/>
      <c r="AF52" s="1079"/>
      <c r="AG52" s="1116"/>
      <c r="AH52" s="1107"/>
      <c r="AI52" s="1116"/>
      <c r="AJ52" s="1107"/>
      <c r="AK52" s="1079"/>
      <c r="AL52" s="1079"/>
      <c r="AM52" s="1079"/>
      <c r="AN52" s="1079"/>
      <c r="AO52" s="1116"/>
      <c r="AP52" s="1127">
        <f t="shared" si="1"/>
        <v>3649</v>
      </c>
      <c r="AQ52" s="1039"/>
      <c r="AR52" s="1132"/>
      <c r="AS52" s="276"/>
      <c r="AT52" s="276"/>
    </row>
    <row r="53" spans="1:46" s="275" customFormat="1" ht="15" customHeight="1" x14ac:dyDescent="0.2">
      <c r="A53" s="1067"/>
      <c r="B53" s="1071">
        <f t="shared" si="0"/>
        <v>44</v>
      </c>
      <c r="C53" s="1091" t="s">
        <v>1070</v>
      </c>
      <c r="D53" s="1079"/>
      <c r="E53" s="1079"/>
      <c r="F53" s="1079"/>
      <c r="G53" s="1079"/>
      <c r="H53" s="1079"/>
      <c r="I53" s="1116"/>
      <c r="J53" s="1107"/>
      <c r="K53" s="1079"/>
      <c r="L53" s="1079"/>
      <c r="M53" s="1079"/>
      <c r="N53" s="1079"/>
      <c r="O53" s="1116"/>
      <c r="P53" s="1107"/>
      <c r="Q53" s="1079"/>
      <c r="R53" s="1079"/>
      <c r="S53" s="1079"/>
      <c r="T53" s="1079"/>
      <c r="U53" s="1116"/>
      <c r="V53" s="1107"/>
      <c r="W53" s="1079"/>
      <c r="X53" s="1079"/>
      <c r="Y53" s="1079"/>
      <c r="Z53" s="1079"/>
      <c r="AA53" s="1116"/>
      <c r="AB53" s="1107"/>
      <c r="AC53" s="1079"/>
      <c r="AD53" s="1079"/>
      <c r="AE53" s="1079"/>
      <c r="AF53" s="1079"/>
      <c r="AG53" s="1116"/>
      <c r="AH53" s="1107">
        <v>367</v>
      </c>
      <c r="AI53" s="1116"/>
      <c r="AJ53" s="1107"/>
      <c r="AK53" s="1079"/>
      <c r="AL53" s="1079"/>
      <c r="AM53" s="1079"/>
      <c r="AN53" s="1079"/>
      <c r="AO53" s="1116"/>
      <c r="AP53" s="1127">
        <f t="shared" si="1"/>
        <v>367</v>
      </c>
      <c r="AQ53" s="1039"/>
      <c r="AR53" s="1132"/>
      <c r="AS53" s="276"/>
      <c r="AT53" s="276"/>
    </row>
    <row r="54" spans="1:46" s="275" customFormat="1" ht="15" customHeight="1" x14ac:dyDescent="0.2">
      <c r="A54" s="1067"/>
      <c r="B54" s="1071">
        <f t="shared" si="0"/>
        <v>45</v>
      </c>
      <c r="C54" s="1091" t="s">
        <v>1071</v>
      </c>
      <c r="D54" s="1079"/>
      <c r="E54" s="1079"/>
      <c r="F54" s="1079"/>
      <c r="G54" s="1079"/>
      <c r="H54" s="1079"/>
      <c r="I54" s="1116"/>
      <c r="J54" s="1107"/>
      <c r="K54" s="1079"/>
      <c r="L54" s="1079"/>
      <c r="M54" s="1079"/>
      <c r="N54" s="1079"/>
      <c r="O54" s="1116"/>
      <c r="P54" s="1107">
        <v>295</v>
      </c>
      <c r="Q54" s="1079"/>
      <c r="R54" s="1079"/>
      <c r="S54" s="1079"/>
      <c r="T54" s="1079"/>
      <c r="U54" s="1116"/>
      <c r="V54" s="1107"/>
      <c r="W54" s="1079"/>
      <c r="X54" s="1079"/>
      <c r="Y54" s="1079"/>
      <c r="Z54" s="1079"/>
      <c r="AA54" s="1116"/>
      <c r="AB54" s="1107"/>
      <c r="AC54" s="1079"/>
      <c r="AD54" s="1079"/>
      <c r="AE54" s="1079"/>
      <c r="AF54" s="1079"/>
      <c r="AG54" s="1116"/>
      <c r="AH54" s="1107"/>
      <c r="AI54" s="1116"/>
      <c r="AJ54" s="1107"/>
      <c r="AK54" s="1079"/>
      <c r="AL54" s="1079"/>
      <c r="AM54" s="1079"/>
      <c r="AN54" s="1079"/>
      <c r="AO54" s="1116"/>
      <c r="AP54" s="1127">
        <f t="shared" si="1"/>
        <v>295</v>
      </c>
      <c r="AQ54" s="1039"/>
      <c r="AR54" s="1132"/>
      <c r="AS54" s="276"/>
      <c r="AT54" s="276"/>
    </row>
    <row r="55" spans="1:46" s="275" customFormat="1" ht="15" customHeight="1" x14ac:dyDescent="0.2">
      <c r="A55" s="1067"/>
      <c r="B55" s="1071">
        <f t="shared" si="0"/>
        <v>46</v>
      </c>
      <c r="C55" s="1091" t="s">
        <v>1072</v>
      </c>
      <c r="D55" s="1079"/>
      <c r="E55" s="1079"/>
      <c r="F55" s="1079"/>
      <c r="G55" s="1079">
        <f>301+64</f>
        <v>365</v>
      </c>
      <c r="H55" s="1079"/>
      <c r="I55" s="1116"/>
      <c r="J55" s="1107"/>
      <c r="K55" s="1079"/>
      <c r="L55" s="1079"/>
      <c r="M55" s="1079">
        <f>28+13</f>
        <v>41</v>
      </c>
      <c r="N55" s="1079"/>
      <c r="O55" s="1116"/>
      <c r="P55" s="1107"/>
      <c r="Q55" s="1079"/>
      <c r="R55" s="1079"/>
      <c r="S55" s="1079">
        <f>1782+3</f>
        <v>1785</v>
      </c>
      <c r="T55" s="1079"/>
      <c r="U55" s="1116"/>
      <c r="V55" s="1107"/>
      <c r="W55" s="1079"/>
      <c r="X55" s="1079"/>
      <c r="Y55" s="1079"/>
      <c r="Z55" s="1079"/>
      <c r="AA55" s="1116"/>
      <c r="AB55" s="1107"/>
      <c r="AC55" s="1079"/>
      <c r="AD55" s="1079"/>
      <c r="AE55" s="1079"/>
      <c r="AF55" s="1079"/>
      <c r="AG55" s="1116"/>
      <c r="AH55" s="1107"/>
      <c r="AI55" s="1116"/>
      <c r="AJ55" s="1107"/>
      <c r="AK55" s="1079"/>
      <c r="AL55" s="1079"/>
      <c r="AM55" s="1079"/>
      <c r="AN55" s="1079"/>
      <c r="AO55" s="1116"/>
      <c r="AP55" s="1127">
        <f t="shared" si="1"/>
        <v>2191</v>
      </c>
      <c r="AQ55" s="1039"/>
      <c r="AR55" s="1132"/>
      <c r="AS55" s="276"/>
      <c r="AT55" s="276"/>
    </row>
    <row r="56" spans="1:46" s="275" customFormat="1" ht="15" customHeight="1" x14ac:dyDescent="0.2">
      <c r="A56" s="1067"/>
      <c r="B56" s="1071">
        <f t="shared" si="0"/>
        <v>47</v>
      </c>
      <c r="C56" s="1091" t="s">
        <v>1073</v>
      </c>
      <c r="D56" s="1079">
        <v>4766</v>
      </c>
      <c r="E56" s="1079"/>
      <c r="F56" s="1079"/>
      <c r="G56" s="1079"/>
      <c r="H56" s="1079"/>
      <c r="I56" s="1116"/>
      <c r="J56" s="1107">
        <v>1748</v>
      </c>
      <c r="K56" s="1079"/>
      <c r="L56" s="1079"/>
      <c r="M56" s="1079"/>
      <c r="N56" s="1079"/>
      <c r="O56" s="1116"/>
      <c r="P56" s="1107">
        <f>13917-1221</f>
        <v>12696</v>
      </c>
      <c r="Q56" s="1079"/>
      <c r="R56" s="1079"/>
      <c r="S56" s="1079"/>
      <c r="T56" s="1079"/>
      <c r="U56" s="1116"/>
      <c r="V56" s="1107"/>
      <c r="W56" s="1079"/>
      <c r="X56" s="1079"/>
      <c r="Y56" s="1079"/>
      <c r="Z56" s="1079"/>
      <c r="AA56" s="1116"/>
      <c r="AB56" s="1107"/>
      <c r="AC56" s="1079"/>
      <c r="AD56" s="1079"/>
      <c r="AE56" s="1079"/>
      <c r="AF56" s="1079"/>
      <c r="AG56" s="1116"/>
      <c r="AH56" s="1107"/>
      <c r="AI56" s="1116"/>
      <c r="AJ56" s="1107"/>
      <c r="AK56" s="1079"/>
      <c r="AL56" s="1079"/>
      <c r="AM56" s="1079"/>
      <c r="AN56" s="1079"/>
      <c r="AO56" s="1116"/>
      <c r="AP56" s="1127">
        <f t="shared" si="1"/>
        <v>19210</v>
      </c>
      <c r="AQ56" s="1039"/>
      <c r="AR56" s="1132"/>
      <c r="AS56" s="276"/>
      <c r="AT56" s="276"/>
    </row>
    <row r="57" spans="1:46" s="275" customFormat="1" ht="15" customHeight="1" x14ac:dyDescent="0.2">
      <c r="A57" s="1067"/>
      <c r="B57" s="1071">
        <f t="shared" si="0"/>
        <v>48</v>
      </c>
      <c r="C57" s="1091" t="s">
        <v>1075</v>
      </c>
      <c r="D57" s="1079"/>
      <c r="E57" s="1079"/>
      <c r="F57" s="1079"/>
      <c r="G57" s="1079"/>
      <c r="H57" s="1079"/>
      <c r="I57" s="1116"/>
      <c r="J57" s="1107"/>
      <c r="K57" s="1079"/>
      <c r="L57" s="1079"/>
      <c r="M57" s="1079"/>
      <c r="N57" s="1079"/>
      <c r="O57" s="1116"/>
      <c r="P57" s="1107">
        <f>3809+11261</f>
        <v>15070</v>
      </c>
      <c r="Q57" s="1079"/>
      <c r="R57" s="1079"/>
      <c r="S57" s="1079"/>
      <c r="T57" s="1079"/>
      <c r="U57" s="1116"/>
      <c r="V57" s="1107"/>
      <c r="W57" s="1079"/>
      <c r="X57" s="1079"/>
      <c r="Y57" s="1079"/>
      <c r="Z57" s="1079"/>
      <c r="AA57" s="1116"/>
      <c r="AB57" s="1107"/>
      <c r="AC57" s="1079"/>
      <c r="AD57" s="1079"/>
      <c r="AE57" s="1079"/>
      <c r="AF57" s="1079"/>
      <c r="AG57" s="1116"/>
      <c r="AH57" s="1107"/>
      <c r="AI57" s="1116"/>
      <c r="AJ57" s="1107"/>
      <c r="AK57" s="1079"/>
      <c r="AL57" s="1079"/>
      <c r="AM57" s="1079"/>
      <c r="AN57" s="1079"/>
      <c r="AO57" s="1116"/>
      <c r="AP57" s="1127">
        <f t="shared" si="1"/>
        <v>15070</v>
      </c>
      <c r="AQ57" s="1039"/>
      <c r="AR57" s="1132"/>
      <c r="AS57" s="276"/>
      <c r="AT57" s="276"/>
    </row>
    <row r="58" spans="1:46" s="275" customFormat="1" ht="15" customHeight="1" x14ac:dyDescent="0.2">
      <c r="A58" s="1067"/>
      <c r="B58" s="1071">
        <f t="shared" si="0"/>
        <v>49</v>
      </c>
      <c r="C58" s="1091" t="s">
        <v>1076</v>
      </c>
      <c r="D58" s="1079"/>
      <c r="E58" s="1079"/>
      <c r="F58" s="1079"/>
      <c r="G58" s="1079"/>
      <c r="H58" s="1079"/>
      <c r="I58" s="1116"/>
      <c r="J58" s="1107"/>
      <c r="K58" s="1079"/>
      <c r="L58" s="1079"/>
      <c r="M58" s="1079"/>
      <c r="N58" s="1079"/>
      <c r="O58" s="1116"/>
      <c r="P58" s="1107">
        <v>865</v>
      </c>
      <c r="Q58" s="1079"/>
      <c r="R58" s="1079"/>
      <c r="S58" s="1079"/>
      <c r="T58" s="1079"/>
      <c r="U58" s="1116"/>
      <c r="V58" s="1107"/>
      <c r="W58" s="1079"/>
      <c r="X58" s="1079"/>
      <c r="Y58" s="1079"/>
      <c r="Z58" s="1079"/>
      <c r="AA58" s="1116"/>
      <c r="AB58" s="1107"/>
      <c r="AC58" s="1079"/>
      <c r="AD58" s="1079"/>
      <c r="AE58" s="1079"/>
      <c r="AF58" s="1079"/>
      <c r="AG58" s="1116"/>
      <c r="AH58" s="1107"/>
      <c r="AI58" s="1116"/>
      <c r="AJ58" s="1107"/>
      <c r="AK58" s="1079"/>
      <c r="AL58" s="1079"/>
      <c r="AM58" s="1079"/>
      <c r="AN58" s="1079"/>
      <c r="AO58" s="1116"/>
      <c r="AP58" s="1127">
        <f t="shared" si="1"/>
        <v>865</v>
      </c>
      <c r="AQ58" s="1039"/>
      <c r="AR58" s="1132"/>
      <c r="AS58" s="276"/>
      <c r="AT58" s="276"/>
    </row>
    <row r="59" spans="1:46" s="275" customFormat="1" ht="15" customHeight="1" x14ac:dyDescent="0.2">
      <c r="A59" s="1067"/>
      <c r="B59" s="1092">
        <f t="shared" si="0"/>
        <v>50</v>
      </c>
      <c r="C59" s="1093" t="s">
        <v>1077</v>
      </c>
      <c r="D59" s="1094"/>
      <c r="E59" s="1094"/>
      <c r="F59" s="1094"/>
      <c r="G59" s="1094">
        <f>14017-50+2+59</f>
        <v>14028</v>
      </c>
      <c r="H59" s="1094"/>
      <c r="I59" s="1118"/>
      <c r="J59" s="1109"/>
      <c r="K59" s="1094"/>
      <c r="L59" s="1094"/>
      <c r="M59" s="1094">
        <f>2843-22+1+11</f>
        <v>2833</v>
      </c>
      <c r="N59" s="1094"/>
      <c r="O59" s="1118"/>
      <c r="P59" s="1109">
        <f>13324+2540+1628</f>
        <v>17492</v>
      </c>
      <c r="Q59" s="1094"/>
      <c r="R59" s="1094"/>
      <c r="S59" s="1094">
        <v>76137</v>
      </c>
      <c r="T59" s="1094"/>
      <c r="U59" s="1118"/>
      <c r="V59" s="1109"/>
      <c r="W59" s="1094"/>
      <c r="X59" s="1094"/>
      <c r="Y59" s="1094"/>
      <c r="Z59" s="1094"/>
      <c r="AA59" s="1118"/>
      <c r="AB59" s="1109"/>
      <c r="AC59" s="1094"/>
      <c r="AD59" s="1094"/>
      <c r="AE59" s="1094"/>
      <c r="AF59" s="1094"/>
      <c r="AG59" s="1118"/>
      <c r="AH59" s="1109">
        <v>84</v>
      </c>
      <c r="AI59" s="1118"/>
      <c r="AJ59" s="1109"/>
      <c r="AK59" s="1094"/>
      <c r="AL59" s="1094"/>
      <c r="AM59" s="1094"/>
      <c r="AN59" s="1094"/>
      <c r="AO59" s="1118"/>
      <c r="AP59" s="1128">
        <f t="shared" si="1"/>
        <v>110574</v>
      </c>
      <c r="AQ59" s="1095"/>
      <c r="AR59" s="1135"/>
      <c r="AS59" s="276"/>
      <c r="AT59" s="276"/>
    </row>
    <row r="60" spans="1:46" s="275" customFormat="1" ht="15" customHeight="1" x14ac:dyDescent="0.2">
      <c r="A60" s="1067"/>
      <c r="B60" s="1071"/>
      <c r="C60" s="1091"/>
      <c r="D60" s="1079"/>
      <c r="E60" s="1079"/>
      <c r="F60" s="1079"/>
      <c r="G60" s="1079"/>
      <c r="H60" s="1079"/>
      <c r="I60" s="1079"/>
      <c r="J60" s="1079"/>
      <c r="K60" s="1079"/>
      <c r="L60" s="1079"/>
      <c r="M60" s="1079"/>
      <c r="N60" s="1079"/>
      <c r="O60" s="1079"/>
      <c r="P60" s="1079"/>
      <c r="Q60" s="1079"/>
      <c r="R60" s="1079"/>
      <c r="S60" s="1079"/>
      <c r="T60" s="1079"/>
      <c r="U60" s="1079"/>
      <c r="V60" s="1079"/>
      <c r="W60" s="1079"/>
      <c r="X60" s="1079"/>
      <c r="Y60" s="1079"/>
      <c r="Z60" s="1079"/>
      <c r="AA60" s="1079"/>
      <c r="AB60" s="1079"/>
      <c r="AC60" s="1079"/>
      <c r="AD60" s="1079"/>
      <c r="AE60" s="1079"/>
      <c r="AF60" s="1079"/>
      <c r="AG60" s="1079"/>
      <c r="AH60" s="1079"/>
      <c r="AI60" s="1079"/>
      <c r="AJ60" s="1079"/>
      <c r="AK60" s="1079"/>
      <c r="AL60" s="1079"/>
      <c r="AM60" s="1079"/>
      <c r="AN60" s="1079"/>
      <c r="AO60" s="1079"/>
      <c r="AP60" s="1251"/>
      <c r="AQ60" s="1249"/>
      <c r="AR60" s="1250"/>
      <c r="AS60" s="276"/>
      <c r="AT60" s="276"/>
    </row>
    <row r="61" spans="1:46" s="275" customFormat="1" ht="15" customHeight="1" x14ac:dyDescent="0.2">
      <c r="A61" s="1067"/>
      <c r="B61" s="1071"/>
      <c r="C61" s="1091"/>
      <c r="D61" s="1079"/>
      <c r="E61" s="1079"/>
      <c r="F61" s="1079"/>
      <c r="G61" s="1079"/>
      <c r="H61" s="1079"/>
      <c r="I61" s="1079"/>
      <c r="J61" s="1079"/>
      <c r="K61" s="1079"/>
      <c r="L61" s="1079"/>
      <c r="M61" s="1079"/>
      <c r="N61" s="1079"/>
      <c r="O61" s="1079"/>
      <c r="P61" s="1079"/>
      <c r="Q61" s="1079"/>
      <c r="R61" s="1079"/>
      <c r="S61" s="1079"/>
      <c r="T61" s="1079"/>
      <c r="U61" s="1079"/>
      <c r="V61" s="1079"/>
      <c r="W61" s="1079"/>
      <c r="X61" s="1079"/>
      <c r="Y61" s="1079"/>
      <c r="Z61" s="1079"/>
      <c r="AA61" s="1079"/>
      <c r="AB61" s="1079"/>
      <c r="AC61" s="1079"/>
      <c r="AD61" s="1079"/>
      <c r="AE61" s="1079"/>
      <c r="AF61" s="1079"/>
      <c r="AG61" s="1079"/>
      <c r="AH61" s="1079"/>
      <c r="AI61" s="1079"/>
      <c r="AJ61" s="1079"/>
      <c r="AK61" s="1079"/>
      <c r="AL61" s="1079"/>
      <c r="AM61" s="1079"/>
      <c r="AN61" s="1079"/>
      <c r="AO61" s="1079"/>
      <c r="AP61" s="1251"/>
      <c r="AQ61" s="1249"/>
      <c r="AR61" s="1250"/>
      <c r="AS61" s="276"/>
      <c r="AT61" s="276"/>
    </row>
    <row r="62" spans="1:46" s="275" customFormat="1" ht="15" customHeight="1" thickBot="1" x14ac:dyDescent="0.25">
      <c r="A62" s="1067"/>
      <c r="B62" s="1243"/>
      <c r="C62" s="1244"/>
      <c r="D62" s="1245"/>
      <c r="E62" s="1245"/>
      <c r="F62" s="1245"/>
      <c r="G62" s="1245"/>
      <c r="H62" s="1245"/>
      <c r="I62" s="1246"/>
      <c r="J62" s="1247"/>
      <c r="K62" s="1245"/>
      <c r="L62" s="1245"/>
      <c r="M62" s="1245"/>
      <c r="N62" s="1245"/>
      <c r="O62" s="1246"/>
      <c r="P62" s="1247"/>
      <c r="Q62" s="1245"/>
      <c r="R62" s="1245"/>
      <c r="S62" s="1245"/>
      <c r="T62" s="1245"/>
      <c r="U62" s="1246"/>
      <c r="V62" s="1247"/>
      <c r="W62" s="1245"/>
      <c r="X62" s="1245"/>
      <c r="Y62" s="1245"/>
      <c r="Z62" s="1245"/>
      <c r="AA62" s="1246"/>
      <c r="AB62" s="1247"/>
      <c r="AC62" s="1245"/>
      <c r="AD62" s="1245"/>
      <c r="AE62" s="1245"/>
      <c r="AF62" s="1245"/>
      <c r="AG62" s="1246"/>
      <c r="AH62" s="1247"/>
      <c r="AI62" s="1246"/>
      <c r="AJ62" s="1247"/>
      <c r="AK62" s="1245"/>
      <c r="AL62" s="1245"/>
      <c r="AM62" s="1245"/>
      <c r="AN62" s="1245"/>
      <c r="AO62" s="1246"/>
      <c r="AP62" s="1248"/>
      <c r="AQ62" s="1249"/>
      <c r="AR62" s="1250"/>
      <c r="AS62" s="276"/>
      <c r="AT62" s="276"/>
    </row>
    <row r="63" spans="1:46" ht="15.6" customHeight="1" thickBot="1" x14ac:dyDescent="0.25">
      <c r="B63" s="1483" t="s">
        <v>632</v>
      </c>
      <c r="C63" s="1484"/>
      <c r="D63" s="246">
        <f t="shared" ref="D63:AP63" si="5">SUM(D10:D59)</f>
        <v>60368</v>
      </c>
      <c r="E63" s="246"/>
      <c r="F63" s="246"/>
      <c r="G63" s="246">
        <f t="shared" si="5"/>
        <v>47841</v>
      </c>
      <c r="H63" s="246"/>
      <c r="I63" s="259"/>
      <c r="J63" s="406">
        <f t="shared" si="5"/>
        <v>18106</v>
      </c>
      <c r="K63" s="246"/>
      <c r="L63" s="246"/>
      <c r="M63" s="246">
        <f t="shared" si="5"/>
        <v>16376.32</v>
      </c>
      <c r="N63" s="246"/>
      <c r="O63" s="259"/>
      <c r="P63" s="406">
        <f t="shared" si="5"/>
        <v>265703</v>
      </c>
      <c r="Q63" s="246"/>
      <c r="R63" s="246"/>
      <c r="S63" s="246">
        <f t="shared" si="5"/>
        <v>184545</v>
      </c>
      <c r="T63" s="246"/>
      <c r="U63" s="259"/>
      <c r="V63" s="1121">
        <f t="shared" si="5"/>
        <v>7750</v>
      </c>
      <c r="W63" s="246"/>
      <c r="X63" s="246"/>
      <c r="Y63" s="246">
        <f t="shared" si="5"/>
        <v>40162</v>
      </c>
      <c r="Z63" s="246"/>
      <c r="AA63" s="259"/>
      <c r="AB63" s="406">
        <f t="shared" si="5"/>
        <v>266185</v>
      </c>
      <c r="AC63" s="246"/>
      <c r="AD63" s="246"/>
      <c r="AE63" s="246">
        <f t="shared" si="5"/>
        <v>19908</v>
      </c>
      <c r="AF63" s="246"/>
      <c r="AG63" s="259"/>
      <c r="AH63" s="406">
        <f t="shared" si="5"/>
        <v>451</v>
      </c>
      <c r="AI63" s="259">
        <f t="shared" si="5"/>
        <v>0</v>
      </c>
      <c r="AJ63" s="406">
        <f t="shared" si="5"/>
        <v>0</v>
      </c>
      <c r="AK63" s="246"/>
      <c r="AL63" s="246"/>
      <c r="AM63" s="246">
        <f t="shared" si="5"/>
        <v>13750</v>
      </c>
      <c r="AN63" s="246"/>
      <c r="AO63" s="259"/>
      <c r="AP63" s="406">
        <f t="shared" si="5"/>
        <v>941145.32000000007</v>
      </c>
      <c r="AQ63" s="1096"/>
      <c r="AR63" s="1136"/>
      <c r="AS63" s="280"/>
    </row>
    <row r="64" spans="1:46" x14ac:dyDescent="0.2">
      <c r="U64" s="1137"/>
      <c r="AQ64" s="283"/>
      <c r="AS64" s="280"/>
    </row>
    <row r="68" spans="28:43" x14ac:dyDescent="0.2">
      <c r="AQ68" s="280"/>
    </row>
    <row r="69" spans="28:43" x14ac:dyDescent="0.2">
      <c r="AQ69" s="280"/>
    </row>
    <row r="73" spans="28:43" x14ac:dyDescent="0.2">
      <c r="AB73" s="279"/>
      <c r="AC73" s="279"/>
      <c r="AD73" s="279"/>
    </row>
  </sheetData>
  <sheetProtection selectLockedCells="1" selectUnlockedCells="1"/>
  <mergeCells count="37">
    <mergeCell ref="B63:C63"/>
    <mergeCell ref="AH5:AI5"/>
    <mergeCell ref="V5:Y5"/>
    <mergeCell ref="J5:M5"/>
    <mergeCell ref="D7:I7"/>
    <mergeCell ref="D8:F8"/>
    <mergeCell ref="G8:I8"/>
    <mergeCell ref="J7:O7"/>
    <mergeCell ref="J8:L8"/>
    <mergeCell ref="M8:O8"/>
    <mergeCell ref="P7:U7"/>
    <mergeCell ref="P8:R8"/>
    <mergeCell ref="B1:AP1"/>
    <mergeCell ref="B2:AP2"/>
    <mergeCell ref="B3:AP3"/>
    <mergeCell ref="B5:B9"/>
    <mergeCell ref="D5:G5"/>
    <mergeCell ref="AH7:AI8"/>
    <mergeCell ref="P5:S5"/>
    <mergeCell ref="AP7:AP9"/>
    <mergeCell ref="C4:AP4"/>
    <mergeCell ref="D6:AP6"/>
    <mergeCell ref="AB5:AE5"/>
    <mergeCell ref="C7:C9"/>
    <mergeCell ref="S8:U8"/>
    <mergeCell ref="V7:AA7"/>
    <mergeCell ref="V8:X8"/>
    <mergeCell ref="Y8:AA8"/>
    <mergeCell ref="AJ5:AM5"/>
    <mergeCell ref="AQ7:AQ9"/>
    <mergeCell ref="AR7:AR9"/>
    <mergeCell ref="AB7:AG7"/>
    <mergeCell ref="AB8:AD8"/>
    <mergeCell ref="AE8:AG8"/>
    <mergeCell ref="AJ7:AO7"/>
    <mergeCell ref="AJ8:AL8"/>
    <mergeCell ref="AM8:AO8"/>
  </mergeCells>
  <phoneticPr fontId="33" type="noConversion"/>
  <pageMargins left="0.15748031496062992" right="0.15748031496062992" top="0.78740157480314965" bottom="0.78740157480314965" header="0.51181102362204722" footer="0.51181102362204722"/>
  <pageSetup paperSize="8" scale="70" firstPageNumber="0" fitToHeight="2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43"/>
  <sheetViews>
    <sheetView workbookViewId="0">
      <selection activeCell="R35" sqref="R35"/>
    </sheetView>
  </sheetViews>
  <sheetFormatPr defaultColWidth="9.140625" defaultRowHeight="18" customHeight="1" x14ac:dyDescent="0.25"/>
  <cols>
    <col min="1" max="1" width="6.140625" style="27" customWidth="1"/>
    <col min="2" max="3" width="3.5703125" style="15" customWidth="1"/>
    <col min="4" max="4" width="41.5703125" style="21" customWidth="1"/>
    <col min="5" max="5" width="12.28515625" style="15" customWidth="1"/>
    <col min="6" max="6" width="11" style="15" customWidth="1"/>
    <col min="7" max="7" width="14" style="15" customWidth="1"/>
    <col min="8" max="9" width="0" style="241" hidden="1" customWidth="1"/>
    <col min="10" max="10" width="9.42578125" style="27" hidden="1" customWidth="1"/>
    <col min="11" max="16384" width="9.140625" style="27"/>
  </cols>
  <sheetData>
    <row r="1" spans="2:16" ht="18" customHeight="1" x14ac:dyDescent="0.25">
      <c r="B1" s="1394" t="s">
        <v>1238</v>
      </c>
      <c r="C1" s="1394"/>
      <c r="D1" s="1394"/>
      <c r="E1" s="1394"/>
      <c r="F1" s="1394"/>
      <c r="G1" s="1394"/>
      <c r="H1" s="1341"/>
      <c r="I1" s="1341"/>
      <c r="J1" s="1341"/>
    </row>
    <row r="3" spans="2:16" ht="15.75" customHeight="1" x14ac:dyDescent="0.25">
      <c r="B3" s="1396" t="s">
        <v>78</v>
      </c>
      <c r="C3" s="1396"/>
      <c r="D3" s="1396"/>
      <c r="E3" s="1396"/>
      <c r="F3" s="1396"/>
      <c r="G3" s="1396"/>
      <c r="H3" s="1341"/>
      <c r="I3" s="1341"/>
      <c r="J3" s="1341"/>
    </row>
    <row r="4" spans="2:16" ht="15.75" customHeight="1" x14ac:dyDescent="0.25">
      <c r="B4" s="1497" t="s">
        <v>1129</v>
      </c>
      <c r="C4" s="1498"/>
      <c r="D4" s="1498"/>
      <c r="E4" s="1498"/>
      <c r="F4" s="1498"/>
      <c r="G4" s="1498"/>
    </row>
    <row r="5" spans="2:16" ht="15.75" customHeight="1" x14ac:dyDescent="0.25">
      <c r="B5" s="1396" t="s">
        <v>974</v>
      </c>
      <c r="C5" s="1396"/>
      <c r="D5" s="1396"/>
      <c r="E5" s="1396"/>
      <c r="F5" s="1396"/>
      <c r="G5" s="1396"/>
      <c r="H5" s="1341"/>
      <c r="I5" s="1341"/>
      <c r="J5" s="1341"/>
    </row>
    <row r="6" spans="2:16" s="29" customFormat="1" ht="14.25" customHeight="1" x14ac:dyDescent="0.25">
      <c r="B6" s="1490" t="s">
        <v>336</v>
      </c>
      <c r="C6" s="1490"/>
      <c r="D6" s="1490"/>
      <c r="E6" s="1490"/>
      <c r="F6" s="1490"/>
      <c r="G6" s="1490"/>
      <c r="H6" s="1341"/>
      <c r="I6" s="1341"/>
      <c r="J6" s="1341"/>
    </row>
    <row r="7" spans="2:16" s="29" customFormat="1" ht="14.25" customHeight="1" x14ac:dyDescent="0.25">
      <c r="B7" s="24"/>
      <c r="C7" s="192"/>
      <c r="D7" s="193"/>
      <c r="E7" s="24"/>
      <c r="F7" s="24"/>
      <c r="G7" s="24"/>
    </row>
    <row r="8" spans="2:16" ht="30.6" customHeight="1" x14ac:dyDescent="0.25">
      <c r="B8" s="1491" t="s">
        <v>498</v>
      </c>
      <c r="C8" s="1493" t="s">
        <v>57</v>
      </c>
      <c r="D8" s="1493"/>
      <c r="E8" s="18" t="s">
        <v>58</v>
      </c>
      <c r="F8" s="18" t="s">
        <v>59</v>
      </c>
      <c r="G8" s="18" t="s">
        <v>60</v>
      </c>
      <c r="H8" s="27"/>
      <c r="I8" s="27"/>
    </row>
    <row r="9" spans="2:16" ht="30" customHeight="1" x14ac:dyDescent="0.25">
      <c r="B9" s="1492"/>
      <c r="C9" s="1494" t="s">
        <v>563</v>
      </c>
      <c r="D9" s="1494"/>
      <c r="E9" s="1496" t="s">
        <v>1201</v>
      </c>
      <c r="F9" s="1496"/>
      <c r="G9" s="1496"/>
      <c r="H9" s="27"/>
      <c r="I9" s="27"/>
      <c r="K9" s="1303" t="s">
        <v>1246</v>
      </c>
      <c r="L9" s="1303"/>
      <c r="M9" s="1303" t="s">
        <v>1246</v>
      </c>
      <c r="N9" s="1303"/>
      <c r="O9" s="1303"/>
    </row>
    <row r="10" spans="2:16" ht="52.9" customHeight="1" x14ac:dyDescent="0.25">
      <c r="B10" s="1492"/>
      <c r="C10" s="1494"/>
      <c r="D10" s="1495"/>
      <c r="E10" s="194" t="s">
        <v>62</v>
      </c>
      <c r="F10" s="194" t="s">
        <v>63</v>
      </c>
      <c r="G10" s="194" t="s">
        <v>64</v>
      </c>
      <c r="H10" s="27"/>
      <c r="I10" s="27"/>
      <c r="K10" s="750" t="s">
        <v>62</v>
      </c>
      <c r="L10" s="750" t="s">
        <v>63</v>
      </c>
      <c r="M10" s="750" t="s">
        <v>62</v>
      </c>
      <c r="N10" s="750" t="s">
        <v>63</v>
      </c>
      <c r="O10" s="751" t="s">
        <v>64</v>
      </c>
    </row>
    <row r="11" spans="2:16" ht="23.25" customHeight="1" x14ac:dyDescent="0.25">
      <c r="B11" s="693" t="s">
        <v>508</v>
      </c>
      <c r="C11" s="1489" t="s">
        <v>633</v>
      </c>
      <c r="D11" s="1489"/>
      <c r="E11" s="195"/>
      <c r="F11" s="195"/>
      <c r="G11" s="195"/>
      <c r="H11" s="27"/>
      <c r="I11" s="27"/>
      <c r="K11" s="483"/>
    </row>
    <row r="12" spans="2:16" ht="18" customHeight="1" x14ac:dyDescent="0.25">
      <c r="B12" s="694" t="s">
        <v>516</v>
      </c>
      <c r="C12" s="196" t="s">
        <v>597</v>
      </c>
      <c r="D12" s="193"/>
      <c r="E12" s="195"/>
      <c r="F12" s="195"/>
      <c r="G12" s="195"/>
      <c r="H12" s="27"/>
      <c r="I12" s="27"/>
      <c r="K12" s="483"/>
    </row>
    <row r="13" spans="2:16" ht="18" customHeight="1" x14ac:dyDescent="0.25">
      <c r="B13" s="694" t="s">
        <v>518</v>
      </c>
      <c r="C13" s="197"/>
      <c r="D13" s="1142" t="s">
        <v>970</v>
      </c>
      <c r="E13" s="1021">
        <v>0</v>
      </c>
      <c r="F13" s="1021">
        <v>850</v>
      </c>
      <c r="G13" s="1021">
        <f>SUM(E13:F13)</f>
        <v>850</v>
      </c>
      <c r="H13" s="1020"/>
      <c r="I13" s="1020"/>
      <c r="J13" s="1020"/>
      <c r="K13" s="1020"/>
      <c r="L13" s="1020"/>
      <c r="M13" s="1020"/>
      <c r="N13" s="1020"/>
      <c r="O13" s="1020"/>
      <c r="P13" s="1020"/>
    </row>
    <row r="14" spans="2:16" ht="18" customHeight="1" x14ac:dyDescent="0.25">
      <c r="B14" s="694" t="s">
        <v>519</v>
      </c>
      <c r="C14" s="197"/>
      <c r="D14" s="1013" t="s">
        <v>597</v>
      </c>
      <c r="E14" s="1021"/>
      <c r="F14" s="1010">
        <v>0</v>
      </c>
      <c r="G14" s="1021">
        <f>SUM(E14:F14)</f>
        <v>0</v>
      </c>
      <c r="H14" s="1020"/>
      <c r="I14" s="1020"/>
      <c r="J14" s="1020"/>
      <c r="K14" s="1020"/>
      <c r="L14" s="1020"/>
      <c r="M14" s="1020"/>
      <c r="N14" s="1020"/>
      <c r="O14" s="1020"/>
      <c r="P14" s="1020"/>
    </row>
    <row r="15" spans="2:16" ht="18" customHeight="1" x14ac:dyDescent="0.25">
      <c r="B15" s="694" t="s">
        <v>520</v>
      </c>
      <c r="C15" s="197"/>
      <c r="D15" s="1013" t="s">
        <v>1030</v>
      </c>
      <c r="E15" s="1021"/>
      <c r="F15" s="1010">
        <v>600</v>
      </c>
      <c r="G15" s="1021">
        <f>SUM(E15:F15)</f>
        <v>600</v>
      </c>
      <c r="H15" s="1020"/>
      <c r="I15" s="1020"/>
      <c r="J15" s="1020"/>
      <c r="K15" s="1020"/>
      <c r="L15" s="1020"/>
      <c r="M15" s="1020"/>
      <c r="N15" s="1020"/>
      <c r="O15" s="1020"/>
      <c r="P15" s="1020"/>
    </row>
    <row r="16" spans="2:16" ht="18" customHeight="1" x14ac:dyDescent="0.25">
      <c r="B16" s="694" t="s">
        <v>521</v>
      </c>
      <c r="C16" s="197"/>
      <c r="D16" s="1013" t="s">
        <v>1031</v>
      </c>
      <c r="E16" s="1021"/>
      <c r="F16" s="1010">
        <v>800</v>
      </c>
      <c r="G16" s="1021">
        <f t="shared" ref="G16:G19" si="0">SUM(E16:F16)</f>
        <v>800</v>
      </c>
      <c r="H16" s="1020"/>
      <c r="I16" s="1020"/>
      <c r="J16" s="1020"/>
      <c r="K16" s="1020"/>
      <c r="L16" s="1020"/>
      <c r="M16" s="1020"/>
      <c r="N16" s="1020"/>
      <c r="O16" s="1020"/>
      <c r="P16" s="1020"/>
    </row>
    <row r="17" spans="1:19" ht="18" customHeight="1" x14ac:dyDescent="0.25">
      <c r="B17" s="694" t="s">
        <v>522</v>
      </c>
      <c r="C17" s="197"/>
      <c r="D17" s="1013" t="s">
        <v>1032</v>
      </c>
      <c r="E17" s="1021"/>
      <c r="F17" s="1010">
        <v>1000</v>
      </c>
      <c r="G17" s="1021">
        <f t="shared" si="0"/>
        <v>1000</v>
      </c>
      <c r="H17" s="1020"/>
      <c r="I17" s="1020"/>
      <c r="J17" s="1020"/>
      <c r="K17" s="1020"/>
      <c r="L17" s="1020"/>
      <c r="M17" s="1020"/>
      <c r="N17" s="1020"/>
      <c r="O17" s="1020"/>
      <c r="P17" s="1020"/>
    </row>
    <row r="18" spans="1:19" ht="18" customHeight="1" x14ac:dyDescent="0.25">
      <c r="B18" s="694" t="s">
        <v>523</v>
      </c>
      <c r="C18" s="197"/>
      <c r="D18" s="1013" t="s">
        <v>1033</v>
      </c>
      <c r="E18" s="1021"/>
      <c r="F18" s="1010">
        <v>600</v>
      </c>
      <c r="G18" s="1021">
        <f t="shared" si="0"/>
        <v>600</v>
      </c>
      <c r="H18" s="1020"/>
      <c r="I18" s="1020"/>
      <c r="J18" s="1020"/>
      <c r="K18" s="1020"/>
      <c r="L18" s="1020"/>
      <c r="M18" s="1020"/>
      <c r="N18" s="1020"/>
      <c r="O18" s="1020"/>
      <c r="P18" s="1020"/>
    </row>
    <row r="19" spans="1:19" ht="18" customHeight="1" x14ac:dyDescent="0.25">
      <c r="B19" s="694" t="s">
        <v>565</v>
      </c>
      <c r="C19" s="197"/>
      <c r="D19" s="1013" t="s">
        <v>1034</v>
      </c>
      <c r="E19" s="1021"/>
      <c r="F19" s="1010">
        <v>2300</v>
      </c>
      <c r="G19" s="1021">
        <f t="shared" si="0"/>
        <v>2300</v>
      </c>
      <c r="H19" s="1020"/>
      <c r="I19" s="1020"/>
      <c r="J19" s="1020"/>
      <c r="K19" s="1020"/>
      <c r="L19" s="1020"/>
      <c r="M19" s="1020"/>
      <c r="N19" s="1020"/>
      <c r="O19" s="1020"/>
      <c r="P19" s="1020"/>
    </row>
    <row r="20" spans="1:19" ht="18" customHeight="1" x14ac:dyDescent="0.25">
      <c r="B20" s="694" t="s">
        <v>566</v>
      </c>
      <c r="C20" s="197"/>
      <c r="D20" s="1143" t="s">
        <v>630</v>
      </c>
      <c r="E20" s="1021"/>
      <c r="F20" s="1010">
        <v>500</v>
      </c>
      <c r="G20" s="1010">
        <f>SUM(F20)</f>
        <v>500</v>
      </c>
      <c r="H20" s="1020"/>
      <c r="I20" s="1020"/>
      <c r="J20" s="1020"/>
      <c r="K20" s="1020"/>
      <c r="L20" s="1020"/>
      <c r="M20" s="1020"/>
      <c r="N20" s="1020"/>
      <c r="O20" s="1020"/>
      <c r="P20" s="1020"/>
    </row>
    <row r="21" spans="1:19" ht="18" customHeight="1" x14ac:dyDescent="0.25">
      <c r="B21" s="694" t="s">
        <v>567</v>
      </c>
      <c r="C21" s="622"/>
      <c r="D21" s="1143" t="s">
        <v>594</v>
      </c>
      <c r="E21" s="1021"/>
      <c r="F21" s="1010">
        <v>1800</v>
      </c>
      <c r="G21" s="1021">
        <f>SUM(E21:F21)</f>
        <v>1800</v>
      </c>
      <c r="H21" s="1020"/>
      <c r="I21" s="1020"/>
      <c r="J21" s="1020"/>
      <c r="K21" s="1020"/>
      <c r="L21" s="1020"/>
      <c r="M21" s="1020"/>
      <c r="N21" s="1020"/>
      <c r="O21" s="1020"/>
      <c r="P21" s="1020"/>
    </row>
    <row r="22" spans="1:19" ht="18" customHeight="1" x14ac:dyDescent="0.25">
      <c r="B22" s="694" t="s">
        <v>568</v>
      </c>
      <c r="C22" s="622"/>
      <c r="D22" s="1143" t="s">
        <v>593</v>
      </c>
      <c r="E22" s="1021"/>
      <c r="F22" s="1010">
        <v>1100</v>
      </c>
      <c r="G22" s="1021">
        <f>SUM(E22:F22)</f>
        <v>1100</v>
      </c>
      <c r="H22" s="1020"/>
      <c r="I22" s="1020"/>
      <c r="J22" s="1020"/>
      <c r="K22" s="1020"/>
      <c r="L22" s="1020"/>
      <c r="M22" s="1020"/>
      <c r="N22" s="1020"/>
      <c r="O22" s="1020"/>
      <c r="P22" s="1020"/>
    </row>
    <row r="23" spans="1:19" ht="18" customHeight="1" x14ac:dyDescent="0.25">
      <c r="B23" s="694" t="s">
        <v>569</v>
      </c>
      <c r="C23" s="196" t="s">
        <v>971</v>
      </c>
      <c r="D23" s="1144"/>
      <c r="E23" s="1017">
        <f>SUM(E13:E22)</f>
        <v>0</v>
      </c>
      <c r="F23" s="1017">
        <f>SUM(F13:F22)</f>
        <v>9550</v>
      </c>
      <c r="G23" s="1017">
        <f t="shared" ref="G23:J23" si="1">SUM(G13:G22)</f>
        <v>9550</v>
      </c>
      <c r="H23" s="1017">
        <f t="shared" si="1"/>
        <v>0</v>
      </c>
      <c r="I23" s="1017">
        <f t="shared" si="1"/>
        <v>0</v>
      </c>
      <c r="J23" s="1017">
        <f t="shared" si="1"/>
        <v>0</v>
      </c>
      <c r="K23" s="1020"/>
      <c r="L23" s="1020"/>
      <c r="M23" s="1020"/>
      <c r="N23" s="1020"/>
      <c r="O23" s="1020"/>
      <c r="P23" s="1020"/>
    </row>
    <row r="24" spans="1:19" ht="20.25" customHeight="1" x14ac:dyDescent="0.25">
      <c r="B24" s="694"/>
      <c r="D24" s="1014"/>
      <c r="E24" s="1021"/>
      <c r="F24" s="1021"/>
      <c r="G24" s="1021"/>
      <c r="H24" s="1020"/>
      <c r="I24" s="1020"/>
      <c r="J24" s="1020"/>
      <c r="K24" s="1020"/>
      <c r="L24" s="1020"/>
      <c r="M24" s="1020"/>
      <c r="N24" s="1020"/>
      <c r="O24" s="1020"/>
      <c r="P24" s="1020"/>
    </row>
    <row r="25" spans="1:19" ht="18" customHeight="1" x14ac:dyDescent="0.25">
      <c r="B25" s="694" t="s">
        <v>570</v>
      </c>
      <c r="C25" s="15" t="s">
        <v>635</v>
      </c>
      <c r="D25" s="1013"/>
      <c r="E25" s="1021"/>
      <c r="F25" s="1021"/>
      <c r="G25" s="1021"/>
      <c r="H25" s="1020"/>
      <c r="I25" s="1020"/>
      <c r="J25" s="1020"/>
      <c r="K25" s="1020"/>
      <c r="L25" s="1020"/>
      <c r="M25" s="1020"/>
      <c r="N25" s="1020"/>
      <c r="O25" s="1020"/>
      <c r="P25" s="1020"/>
      <c r="S25" s="28"/>
    </row>
    <row r="26" spans="1:19" ht="18" customHeight="1" x14ac:dyDescent="0.25">
      <c r="B26" s="694" t="s">
        <v>571</v>
      </c>
      <c r="D26" s="1013" t="s">
        <v>636</v>
      </c>
      <c r="E26" s="1021"/>
      <c r="F26" s="1021">
        <v>0</v>
      </c>
      <c r="G26" s="1021">
        <f>SUM(E26:F26)</f>
        <v>0</v>
      </c>
      <c r="H26" s="1020"/>
      <c r="I26" s="1020"/>
      <c r="J26" s="1020"/>
      <c r="K26" s="1020"/>
      <c r="L26" s="1020"/>
      <c r="M26" s="1020"/>
      <c r="N26" s="1020"/>
      <c r="O26" s="1020"/>
      <c r="P26" s="1020"/>
    </row>
    <row r="27" spans="1:19" ht="18" customHeight="1" x14ac:dyDescent="0.25">
      <c r="B27" s="694" t="s">
        <v>572</v>
      </c>
      <c r="D27" s="1013" t="s">
        <v>584</v>
      </c>
      <c r="E27" s="1010">
        <v>0</v>
      </c>
      <c r="F27" s="1021">
        <v>0</v>
      </c>
      <c r="G27" s="1021">
        <f>SUM(E27:F27)</f>
        <v>0</v>
      </c>
      <c r="H27" s="1020"/>
      <c r="I27" s="1020"/>
      <c r="J27" s="1020"/>
      <c r="K27" s="1020"/>
      <c r="L27" s="1020"/>
      <c r="M27" s="1020"/>
      <c r="N27" s="1020"/>
      <c r="O27" s="1020"/>
      <c r="P27" s="1020"/>
    </row>
    <row r="28" spans="1:19" ht="18" customHeight="1" x14ac:dyDescent="0.25">
      <c r="B28" s="694" t="s">
        <v>574</v>
      </c>
      <c r="C28" s="24" t="s">
        <v>972</v>
      </c>
      <c r="D28" s="1013"/>
      <c r="E28" s="1029">
        <f>SUM(E26:E27)</f>
        <v>0</v>
      </c>
      <c r="F28" s="1029">
        <f>SUM(F26:F27)</f>
        <v>0</v>
      </c>
      <c r="G28" s="1029">
        <f>SUM(G26:G27)</f>
        <v>0</v>
      </c>
      <c r="H28" s="1020"/>
      <c r="I28" s="1020"/>
      <c r="J28" s="1020"/>
      <c r="K28" s="1020"/>
      <c r="L28" s="1020"/>
      <c r="M28" s="1020"/>
      <c r="N28" s="1020"/>
      <c r="O28" s="1020"/>
      <c r="P28" s="1020"/>
    </row>
    <row r="29" spans="1:19" ht="18" customHeight="1" x14ac:dyDescent="0.25">
      <c r="B29" s="694"/>
      <c r="D29" s="1013"/>
      <c r="E29" s="1021"/>
      <c r="F29" s="1021"/>
      <c r="G29" s="1021"/>
      <c r="H29" s="1020"/>
      <c r="I29" s="1020"/>
      <c r="J29" s="1020"/>
      <c r="K29" s="1020"/>
      <c r="L29" s="1020"/>
      <c r="M29" s="1020"/>
      <c r="N29" s="1020"/>
      <c r="O29" s="1020"/>
      <c r="P29" s="1020"/>
    </row>
    <row r="30" spans="1:19" ht="37.9" customHeight="1" x14ac:dyDescent="0.25">
      <c r="B30" s="695" t="s">
        <v>575</v>
      </c>
      <c r="D30" s="1013" t="s">
        <v>638</v>
      </c>
      <c r="E30" s="1021"/>
      <c r="F30" s="1021">
        <v>4200</v>
      </c>
      <c r="G30" s="1021">
        <f>SUM(E30:F30)</f>
        <v>4200</v>
      </c>
      <c r="H30" s="1020"/>
      <c r="I30" s="1020"/>
      <c r="J30" s="1020"/>
      <c r="K30" s="1020"/>
      <c r="L30" s="1020"/>
      <c r="M30" s="1020"/>
      <c r="N30" s="1020"/>
      <c r="O30" s="1020"/>
      <c r="P30" s="1020"/>
    </row>
    <row r="31" spans="1:19" ht="23.25" customHeight="1" thickBot="1" x14ac:dyDescent="0.3">
      <c r="B31" s="695" t="s">
        <v>576</v>
      </c>
      <c r="C31" s="470"/>
      <c r="D31" s="1145" t="s">
        <v>634</v>
      </c>
      <c r="E31" s="1146">
        <f>E30</f>
        <v>0</v>
      </c>
      <c r="F31" s="1146">
        <f t="shared" ref="F31:G31" si="2">F30</f>
        <v>4200</v>
      </c>
      <c r="G31" s="1146">
        <f t="shared" si="2"/>
        <v>4200</v>
      </c>
      <c r="H31" s="1147"/>
      <c r="I31" s="1147"/>
      <c r="J31" s="1147"/>
      <c r="K31" s="1147"/>
      <c r="L31" s="1147"/>
      <c r="M31" s="1147"/>
      <c r="N31" s="1147"/>
      <c r="O31" s="1147"/>
      <c r="P31" s="1147"/>
    </row>
    <row r="32" spans="1:19" s="29" customFormat="1" ht="18" customHeight="1" thickBot="1" x14ac:dyDescent="0.3">
      <c r="A32" s="1148"/>
      <c r="B32" s="1149" t="s">
        <v>577</v>
      </c>
      <c r="C32" s="1150" t="s">
        <v>973</v>
      </c>
      <c r="D32" s="1151"/>
      <c r="E32" s="623">
        <f>E23+E28+E30</f>
        <v>0</v>
      </c>
      <c r="F32" s="623">
        <f t="shared" ref="F32:G32" si="3">F23+F28+F30</f>
        <v>13750</v>
      </c>
      <c r="G32" s="623">
        <f t="shared" si="3"/>
        <v>13750</v>
      </c>
      <c r="H32" s="1152"/>
      <c r="I32" s="1152"/>
      <c r="J32" s="1152"/>
      <c r="K32" s="1152"/>
      <c r="L32" s="1152"/>
      <c r="M32" s="1152"/>
      <c r="N32" s="1152"/>
      <c r="O32" s="1152"/>
      <c r="P32" s="1153"/>
    </row>
    <row r="33" spans="2:9" ht="18" customHeight="1" x14ac:dyDescent="0.25">
      <c r="B33" s="470"/>
      <c r="H33" s="27"/>
      <c r="I33" s="27"/>
    </row>
    <row r="34" spans="2:9" ht="18" customHeight="1" x14ac:dyDescent="0.25">
      <c r="H34" s="27"/>
      <c r="I34" s="27"/>
    </row>
    <row r="35" spans="2:9" ht="18" customHeight="1" x14ac:dyDescent="0.25">
      <c r="H35" s="27"/>
      <c r="I35" s="27"/>
    </row>
    <row r="36" spans="2:9" ht="18" customHeight="1" x14ac:dyDescent="0.25">
      <c r="H36" s="27"/>
      <c r="I36" s="27"/>
    </row>
    <row r="37" spans="2:9" ht="18" customHeight="1" x14ac:dyDescent="0.25">
      <c r="H37" s="27"/>
      <c r="I37" s="27"/>
    </row>
    <row r="38" spans="2:9" ht="18" customHeight="1" x14ac:dyDescent="0.25">
      <c r="H38" s="27"/>
      <c r="I38" s="27"/>
    </row>
    <row r="39" spans="2:9" ht="18" customHeight="1" x14ac:dyDescent="0.25">
      <c r="H39" s="27"/>
      <c r="I39" s="27"/>
    </row>
    <row r="40" spans="2:9" ht="18" customHeight="1" x14ac:dyDescent="0.25">
      <c r="H40" s="27"/>
      <c r="I40" s="27"/>
    </row>
    <row r="41" spans="2:9" ht="18" customHeight="1" x14ac:dyDescent="0.25">
      <c r="H41" s="27"/>
      <c r="I41" s="27"/>
    </row>
    <row r="42" spans="2:9" ht="18" customHeight="1" x14ac:dyDescent="0.25">
      <c r="H42" s="27"/>
      <c r="I42" s="27"/>
    </row>
    <row r="43" spans="2:9" ht="18" customHeight="1" x14ac:dyDescent="0.25">
      <c r="H43" s="27"/>
      <c r="I43" s="27"/>
    </row>
  </sheetData>
  <sheetProtection selectLockedCells="1" selectUnlockedCells="1"/>
  <mergeCells count="12">
    <mergeCell ref="K9:L9"/>
    <mergeCell ref="M9:O9"/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6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8"/>
  <sheetViews>
    <sheetView workbookViewId="0">
      <selection activeCell="L8" sqref="L8:L10"/>
    </sheetView>
  </sheetViews>
  <sheetFormatPr defaultColWidth="9.140625" defaultRowHeight="18" customHeight="1" x14ac:dyDescent="0.2"/>
  <cols>
    <col min="1" max="1" width="12.28515625" style="2" customWidth="1"/>
    <col min="2" max="3" width="3.5703125" style="1" customWidth="1"/>
    <col min="4" max="4" width="35" style="189" customWidth="1"/>
    <col min="5" max="6" width="9.42578125" style="1" customWidth="1"/>
    <col min="7" max="7" width="9.7109375" style="1" customWidth="1"/>
    <col min="8" max="9" width="0" style="190" hidden="1" customWidth="1"/>
    <col min="10" max="10" width="9.85546875" style="206" hidden="1" customWidth="1"/>
    <col min="11" max="11" width="0" style="206" hidden="1" customWidth="1"/>
    <col min="12" max="16384" width="9.140625" style="2"/>
  </cols>
  <sheetData>
    <row r="1" spans="1:12" ht="31.5" customHeight="1" x14ac:dyDescent="0.2">
      <c r="B1" s="1507" t="s">
        <v>1239</v>
      </c>
      <c r="C1" s="1507"/>
      <c r="D1" s="1507"/>
      <c r="E1" s="1507"/>
      <c r="F1" s="1507"/>
      <c r="G1" s="1507"/>
      <c r="H1" s="1508"/>
      <c r="I1" s="1508"/>
      <c r="J1" s="1508"/>
      <c r="K1" s="1341"/>
    </row>
    <row r="3" spans="1:12" ht="12.75" customHeight="1" x14ac:dyDescent="0.2">
      <c r="B3" s="1340" t="s">
        <v>538</v>
      </c>
      <c r="C3" s="1340"/>
      <c r="D3" s="1340"/>
      <c r="E3" s="1340"/>
      <c r="F3" s="1340"/>
      <c r="G3" s="1340"/>
      <c r="H3" s="1341"/>
      <c r="I3" s="1341"/>
      <c r="J3" s="1341"/>
    </row>
    <row r="4" spans="1:12" ht="12.75" customHeight="1" x14ac:dyDescent="0.2">
      <c r="B4" s="1340" t="s">
        <v>1129</v>
      </c>
      <c r="C4" s="1340"/>
      <c r="D4" s="1340"/>
      <c r="E4" s="1340"/>
      <c r="F4" s="1340"/>
      <c r="G4" s="1340"/>
      <c r="H4" s="1341"/>
      <c r="I4" s="1341"/>
      <c r="J4" s="1341"/>
    </row>
    <row r="5" spans="1:12" ht="12.75" customHeight="1" x14ac:dyDescent="0.2">
      <c r="B5" s="1340" t="s">
        <v>974</v>
      </c>
      <c r="C5" s="1340"/>
      <c r="D5" s="1340"/>
      <c r="E5" s="1340"/>
      <c r="F5" s="1340"/>
      <c r="G5" s="1340"/>
      <c r="H5" s="1341"/>
      <c r="I5" s="1341"/>
      <c r="J5" s="1341"/>
    </row>
    <row r="6" spans="1:12" s="118" customFormat="1" ht="14.25" customHeight="1" x14ac:dyDescent="0.2">
      <c r="B6" s="186"/>
      <c r="C6" s="1506" t="s">
        <v>321</v>
      </c>
      <c r="D6" s="1506"/>
      <c r="E6" s="1413"/>
      <c r="F6" s="1413"/>
      <c r="G6" s="1413"/>
      <c r="H6" s="1341"/>
      <c r="I6" s="1341"/>
      <c r="J6" s="1341"/>
      <c r="K6" s="208"/>
    </row>
    <row r="7" spans="1:12" s="118" customFormat="1" ht="6" customHeight="1" x14ac:dyDescent="0.2">
      <c r="B7" s="186"/>
      <c r="C7" s="183"/>
      <c r="D7" s="198"/>
      <c r="E7" s="186"/>
      <c r="F7" s="186"/>
      <c r="G7" s="186"/>
      <c r="H7" s="240"/>
      <c r="I7" s="240"/>
      <c r="J7" s="208"/>
      <c r="K7" s="208"/>
    </row>
    <row r="8" spans="1:12" ht="27" customHeight="1" x14ac:dyDescent="0.25">
      <c r="B8" s="1499" t="s">
        <v>498</v>
      </c>
      <c r="C8" s="1502" t="s">
        <v>57</v>
      </c>
      <c r="D8" s="1502"/>
      <c r="E8" s="18" t="s">
        <v>58</v>
      </c>
      <c r="F8" s="18" t="s">
        <v>59</v>
      </c>
      <c r="G8" s="18" t="s">
        <v>60</v>
      </c>
      <c r="H8" s="206"/>
      <c r="I8" s="2"/>
      <c r="J8" s="2"/>
      <c r="K8" s="2"/>
    </row>
    <row r="9" spans="1:12" ht="30" customHeight="1" x14ac:dyDescent="0.2">
      <c r="B9" s="1500"/>
      <c r="C9" s="1494" t="s">
        <v>86</v>
      </c>
      <c r="D9" s="1494"/>
      <c r="E9" s="1504" t="s">
        <v>1125</v>
      </c>
      <c r="F9" s="1504"/>
      <c r="G9" s="1504"/>
      <c r="H9" s="206"/>
      <c r="I9" s="2"/>
      <c r="J9" s="2"/>
      <c r="K9" s="2"/>
    </row>
    <row r="10" spans="1:12" ht="41.25" customHeight="1" x14ac:dyDescent="0.2">
      <c r="B10" s="1501"/>
      <c r="C10" s="1494"/>
      <c r="D10" s="1494"/>
      <c r="E10" s="194" t="s">
        <v>62</v>
      </c>
      <c r="F10" s="194" t="s">
        <v>63</v>
      </c>
      <c r="G10" s="194" t="s">
        <v>64</v>
      </c>
      <c r="H10" s="206"/>
      <c r="I10" s="2"/>
      <c r="J10" s="2"/>
      <c r="K10" s="2"/>
    </row>
    <row r="11" spans="1:12" ht="18" customHeight="1" x14ac:dyDescent="0.2">
      <c r="A11" s="689"/>
      <c r="B11" s="690" t="s">
        <v>508</v>
      </c>
      <c r="C11" s="1505" t="s">
        <v>639</v>
      </c>
      <c r="D11" s="1505"/>
      <c r="E11" s="199"/>
      <c r="F11" s="187"/>
      <c r="G11" s="466"/>
      <c r="H11" s="206"/>
      <c r="I11" s="2"/>
      <c r="J11" s="2"/>
      <c r="K11" s="2"/>
      <c r="L11" s="482"/>
    </row>
    <row r="12" spans="1:12" ht="26.45" customHeight="1" x14ac:dyDescent="0.2">
      <c r="A12" s="689"/>
      <c r="B12" s="691" t="s">
        <v>516</v>
      </c>
      <c r="C12" s="187"/>
      <c r="D12" s="264" t="s">
        <v>975</v>
      </c>
      <c r="E12" s="201">
        <f>'tám, végl. pe.átv  '!C29</f>
        <v>350</v>
      </c>
      <c r="F12" s="200"/>
      <c r="G12" s="466">
        <f>SUM(E12:F12)</f>
        <v>350</v>
      </c>
      <c r="H12" s="206"/>
      <c r="I12" s="2"/>
      <c r="J12" s="2"/>
      <c r="K12" s="2"/>
      <c r="L12" s="482"/>
    </row>
    <row r="13" spans="1:12" ht="20.25" customHeight="1" x14ac:dyDescent="0.2">
      <c r="A13" s="689"/>
      <c r="B13" s="691" t="s">
        <v>517</v>
      </c>
      <c r="C13" s="187"/>
      <c r="D13" s="264" t="s">
        <v>114</v>
      </c>
      <c r="E13" s="199">
        <v>0</v>
      </c>
      <c r="F13" s="187">
        <f>SUM(F12)</f>
        <v>0</v>
      </c>
      <c r="G13" s="466">
        <f>SUM(E13:F13)</f>
        <v>0</v>
      </c>
      <c r="H13" s="206"/>
      <c r="I13" s="2"/>
      <c r="J13" s="2"/>
      <c r="K13" s="2"/>
      <c r="L13" s="482"/>
    </row>
    <row r="14" spans="1:12" ht="18" customHeight="1" x14ac:dyDescent="0.2">
      <c r="A14" s="689"/>
      <c r="B14" s="691" t="s">
        <v>518</v>
      </c>
      <c r="D14" s="202" t="s">
        <v>634</v>
      </c>
      <c r="E14" s="203">
        <f>SUM(E12:E13)</f>
        <v>350</v>
      </c>
      <c r="F14" s="188"/>
      <c r="G14" s="467">
        <f>SUM(G12:G13)</f>
        <v>350</v>
      </c>
      <c r="H14" s="206"/>
      <c r="I14" s="2"/>
      <c r="J14" s="2"/>
      <c r="K14" s="2"/>
      <c r="L14" s="482"/>
    </row>
    <row r="15" spans="1:12" ht="18" customHeight="1" x14ac:dyDescent="0.2">
      <c r="A15" s="689"/>
      <c r="B15" s="691" t="s">
        <v>519</v>
      </c>
      <c r="D15" s="202"/>
      <c r="E15" s="199"/>
      <c r="F15" s="187"/>
      <c r="G15" s="466"/>
      <c r="H15" s="206"/>
      <c r="I15" s="2"/>
      <c r="J15" s="2"/>
      <c r="K15" s="2"/>
      <c r="L15" s="482"/>
    </row>
    <row r="16" spans="1:12" ht="18" customHeight="1" x14ac:dyDescent="0.2">
      <c r="A16" s="689"/>
      <c r="B16" s="692" t="s">
        <v>520</v>
      </c>
      <c r="E16" s="242"/>
      <c r="F16" s="187"/>
      <c r="G16" s="468"/>
      <c r="H16" s="206"/>
      <c r="I16" s="2"/>
      <c r="J16" s="2"/>
      <c r="K16" s="2"/>
      <c r="L16" s="482"/>
    </row>
    <row r="17" spans="2:12" ht="18" customHeight="1" x14ac:dyDescent="0.2">
      <c r="B17" s="204" t="s">
        <v>521</v>
      </c>
      <c r="C17" s="1503" t="s">
        <v>637</v>
      </c>
      <c r="D17" s="1503"/>
      <c r="E17" s="205">
        <f>E14</f>
        <v>350</v>
      </c>
      <c r="F17" s="205">
        <f t="shared" ref="F17:G17" si="0">F14</f>
        <v>0</v>
      </c>
      <c r="G17" s="205">
        <f t="shared" si="0"/>
        <v>350</v>
      </c>
      <c r="H17" s="206"/>
      <c r="I17" s="2"/>
      <c r="J17" s="2"/>
      <c r="K17" s="2"/>
      <c r="L17" s="482"/>
    </row>
    <row r="18" spans="2:12" ht="18" customHeight="1" x14ac:dyDescent="0.2">
      <c r="B18" s="3"/>
      <c r="H18" s="206"/>
      <c r="I18" s="2"/>
      <c r="J18" s="2"/>
      <c r="K18" s="2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5"/>
  <sheetViews>
    <sheetView zoomScale="120" workbookViewId="0">
      <selection activeCell="C32" sqref="C32:J32"/>
    </sheetView>
  </sheetViews>
  <sheetFormatPr defaultColWidth="9.140625" defaultRowHeight="11.25" x14ac:dyDescent="0.2"/>
  <cols>
    <col min="1" max="1" width="4.85546875" style="127" customWidth="1"/>
    <col min="2" max="2" width="39.85546875" style="127" customWidth="1"/>
    <col min="3" max="3" width="10.28515625" style="128" customWidth="1"/>
    <col min="4" max="4" width="11" style="128" customWidth="1"/>
    <col min="5" max="10" width="10.85546875" style="128" customWidth="1"/>
    <col min="11" max="11" width="33.7109375" style="128" customWidth="1"/>
    <col min="12" max="12" width="10.5703125" style="230" customWidth="1"/>
    <col min="13" max="13" width="12.42578125" style="230" customWidth="1"/>
    <col min="14" max="14" width="13" style="230" customWidth="1"/>
    <col min="15" max="15" width="10.85546875" style="127" customWidth="1"/>
    <col min="16" max="18" width="10.85546875" style="8" customWidth="1"/>
    <col min="19" max="19" width="10.7109375" style="8" customWidth="1"/>
    <col min="20" max="16384" width="9.140625" style="8"/>
  </cols>
  <sheetData>
    <row r="1" spans="1:19" ht="12.75" customHeight="1" x14ac:dyDescent="0.2">
      <c r="A1" s="1301" t="s">
        <v>1263</v>
      </c>
      <c r="B1" s="1301"/>
      <c r="C1" s="1301"/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1301"/>
      <c r="P1" s="1301"/>
      <c r="Q1" s="1301"/>
      <c r="R1" s="1301"/>
      <c r="S1" s="1301"/>
    </row>
    <row r="2" spans="1:19" x14ac:dyDescent="0.2">
      <c r="N2" s="286"/>
    </row>
    <row r="3" spans="1:19" x14ac:dyDescent="0.2">
      <c r="N3" s="286"/>
    </row>
    <row r="4" spans="1:19" s="100" customFormat="1" ht="12.75" customHeight="1" x14ac:dyDescent="0.2">
      <c r="A4" s="1308" t="s">
        <v>78</v>
      </c>
      <c r="B4" s="1308"/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8"/>
      <c r="P4" s="1308"/>
      <c r="Q4" s="1308"/>
      <c r="R4" s="1308"/>
      <c r="S4" s="1308"/>
    </row>
    <row r="5" spans="1:19" s="100" customFormat="1" ht="12.75" customHeight="1" x14ac:dyDescent="0.2">
      <c r="A5" s="1406" t="s">
        <v>196</v>
      </c>
      <c r="B5" s="1406"/>
      <c r="C5" s="1406"/>
      <c r="D5" s="1406"/>
      <c r="E5" s="1406"/>
      <c r="F5" s="1406"/>
      <c r="G5" s="1406"/>
      <c r="H5" s="1406"/>
      <c r="I5" s="1406"/>
      <c r="J5" s="1406"/>
      <c r="K5" s="1406"/>
      <c r="L5" s="1406"/>
      <c r="M5" s="1406"/>
      <c r="N5" s="1406"/>
      <c r="O5" s="1406"/>
      <c r="P5" s="1406"/>
      <c r="Q5" s="1406"/>
      <c r="R5" s="1406"/>
      <c r="S5" s="1406"/>
    </row>
    <row r="6" spans="1:19" s="100" customFormat="1" ht="12.75" customHeight="1" x14ac:dyDescent="0.2">
      <c r="A6" s="1308" t="s">
        <v>1131</v>
      </c>
      <c r="B6" s="1308"/>
      <c r="C6" s="1308"/>
      <c r="D6" s="1308"/>
      <c r="E6" s="1308"/>
      <c r="F6" s="1308"/>
      <c r="G6" s="1308"/>
      <c r="H6" s="1308"/>
      <c r="I6" s="1308"/>
      <c r="J6" s="1308"/>
      <c r="K6" s="1308"/>
      <c r="L6" s="1308"/>
      <c r="M6" s="1308"/>
      <c r="N6" s="1308"/>
      <c r="O6" s="1308"/>
      <c r="P6" s="1308"/>
      <c r="Q6" s="1308"/>
      <c r="R6" s="1308"/>
      <c r="S6" s="1308"/>
    </row>
    <row r="7" spans="1:19" s="100" customFormat="1" x14ac:dyDescent="0.2">
      <c r="A7" s="130"/>
      <c r="B7" s="1302" t="s">
        <v>321</v>
      </c>
      <c r="C7" s="1302"/>
      <c r="D7" s="1302"/>
      <c r="E7" s="1302"/>
      <c r="F7" s="1302"/>
      <c r="G7" s="1302"/>
      <c r="H7" s="1302"/>
      <c r="I7" s="1302"/>
      <c r="J7" s="1302"/>
      <c r="K7" s="1302"/>
      <c r="L7" s="1302"/>
      <c r="M7" s="1302"/>
      <c r="N7" s="1302"/>
      <c r="O7" s="1302"/>
      <c r="P7" s="1302"/>
      <c r="Q7" s="1302"/>
      <c r="R7" s="1302"/>
      <c r="S7" s="1302"/>
    </row>
    <row r="8" spans="1:19" s="100" customFormat="1" ht="12.75" customHeight="1" x14ac:dyDescent="0.2">
      <c r="A8" s="1305" t="s">
        <v>56</v>
      </c>
      <c r="B8" s="1306" t="s">
        <v>57</v>
      </c>
      <c r="C8" s="1306" t="s">
        <v>58</v>
      </c>
      <c r="D8" s="1306"/>
      <c r="E8" s="1306"/>
      <c r="F8" s="1306"/>
      <c r="G8" s="1306"/>
      <c r="H8" s="1306"/>
      <c r="I8" s="1306"/>
      <c r="J8" s="1306"/>
      <c r="K8" s="1307" t="s">
        <v>59</v>
      </c>
      <c r="L8" s="1320" t="s">
        <v>60</v>
      </c>
      <c r="M8" s="1320"/>
      <c r="N8" s="1320"/>
      <c r="O8" s="1320"/>
      <c r="P8" s="1320"/>
      <c r="Q8" s="1320"/>
      <c r="R8" s="1320"/>
      <c r="S8" s="1320"/>
    </row>
    <row r="9" spans="1:19" s="100" customFormat="1" ht="12.75" customHeight="1" x14ac:dyDescent="0.2">
      <c r="A9" s="1305"/>
      <c r="B9" s="1306"/>
      <c r="C9" s="1303" t="s">
        <v>1125</v>
      </c>
      <c r="D9" s="1303"/>
      <c r="E9" s="1303"/>
      <c r="F9" s="1303" t="s">
        <v>1267</v>
      </c>
      <c r="G9" s="1303"/>
      <c r="H9" s="1303" t="s">
        <v>1266</v>
      </c>
      <c r="I9" s="1303"/>
      <c r="J9" s="1303"/>
      <c r="K9" s="1307"/>
      <c r="L9" s="1311" t="s">
        <v>1125</v>
      </c>
      <c r="M9" s="1311"/>
      <c r="N9" s="1311"/>
      <c r="O9" s="1303" t="s">
        <v>1267</v>
      </c>
      <c r="P9" s="1303"/>
      <c r="Q9" s="1303" t="s">
        <v>1266</v>
      </c>
      <c r="R9" s="1303"/>
      <c r="S9" s="1303"/>
    </row>
    <row r="10" spans="1:19" s="244" customFormat="1" ht="36.6" customHeight="1" x14ac:dyDescent="0.2">
      <c r="A10" s="1305"/>
      <c r="B10" s="1273" t="s">
        <v>61</v>
      </c>
      <c r="C10" s="753" t="s">
        <v>62</v>
      </c>
      <c r="D10" s="753" t="s">
        <v>63</v>
      </c>
      <c r="E10" s="753" t="s">
        <v>64</v>
      </c>
      <c r="F10" s="753" t="s">
        <v>62</v>
      </c>
      <c r="G10" s="753" t="s">
        <v>63</v>
      </c>
      <c r="H10" s="753" t="s">
        <v>62</v>
      </c>
      <c r="I10" s="753" t="s">
        <v>63</v>
      </c>
      <c r="J10" s="753" t="s">
        <v>64</v>
      </c>
      <c r="K10" s="1274" t="s">
        <v>65</v>
      </c>
      <c r="L10" s="755" t="s">
        <v>62</v>
      </c>
      <c r="M10" s="755" t="s">
        <v>63</v>
      </c>
      <c r="N10" s="755" t="s">
        <v>64</v>
      </c>
      <c r="O10" s="753" t="s">
        <v>62</v>
      </c>
      <c r="P10" s="753" t="s">
        <v>63</v>
      </c>
      <c r="Q10" s="753" t="s">
        <v>62</v>
      </c>
      <c r="R10" s="753" t="s">
        <v>63</v>
      </c>
      <c r="S10" s="753" t="s">
        <v>64</v>
      </c>
    </row>
    <row r="11" spans="1:19" ht="11.45" customHeight="1" x14ac:dyDescent="0.2">
      <c r="A11" s="624">
        <v>1</v>
      </c>
      <c r="B11" s="1252" t="s">
        <v>24</v>
      </c>
      <c r="C11" s="140"/>
      <c r="D11" s="140"/>
      <c r="E11" s="140"/>
      <c r="F11" s="140"/>
      <c r="G11" s="140"/>
      <c r="H11" s="140"/>
      <c r="I11" s="140"/>
      <c r="J11" s="1262"/>
      <c r="K11" s="103" t="s">
        <v>25</v>
      </c>
      <c r="L11" s="290"/>
      <c r="M11" s="290"/>
      <c r="N11" s="232"/>
      <c r="O11" s="231"/>
      <c r="P11" s="231"/>
      <c r="Q11" s="231"/>
      <c r="R11" s="231"/>
      <c r="S11" s="231"/>
    </row>
    <row r="12" spans="1:19" x14ac:dyDescent="0.2">
      <c r="A12" s="624">
        <f t="shared" ref="A12:A54" si="0">A11+1</f>
        <v>2</v>
      </c>
      <c r="B12" s="134" t="s">
        <v>35</v>
      </c>
      <c r="C12" s="97"/>
      <c r="D12" s="97"/>
      <c r="E12" s="97">
        <f t="shared" ref="E12:E14" si="1">SUM(C12:D12)</f>
        <v>0</v>
      </c>
      <c r="F12" s="97"/>
      <c r="G12" s="97"/>
      <c r="H12" s="97"/>
      <c r="I12" s="97"/>
      <c r="J12" s="375"/>
      <c r="K12" s="97" t="s">
        <v>231</v>
      </c>
      <c r="L12" s="225">
        <v>200000</v>
      </c>
      <c r="M12" s="225">
        <v>34440</v>
      </c>
      <c r="N12" s="1253">
        <f>SUM(L12:M12)</f>
        <v>234440</v>
      </c>
      <c r="O12" s="232">
        <v>542</v>
      </c>
      <c r="P12" s="232">
        <v>1125</v>
      </c>
      <c r="Q12" s="232">
        <f>L12+O12</f>
        <v>200542</v>
      </c>
      <c r="R12" s="232">
        <f>M12+P12</f>
        <v>35565</v>
      </c>
      <c r="S12" s="232">
        <f>SUM(Q12:R12)</f>
        <v>236107</v>
      </c>
    </row>
    <row r="13" spans="1:19" x14ac:dyDescent="0.2">
      <c r="A13" s="624">
        <f t="shared" si="0"/>
        <v>3</v>
      </c>
      <c r="B13" s="134" t="s">
        <v>36</v>
      </c>
      <c r="C13" s="97"/>
      <c r="D13" s="97"/>
      <c r="E13" s="97">
        <f t="shared" si="1"/>
        <v>0</v>
      </c>
      <c r="F13" s="97"/>
      <c r="G13" s="97"/>
      <c r="H13" s="97"/>
      <c r="I13" s="97"/>
      <c r="J13" s="375"/>
      <c r="K13" s="1261" t="s">
        <v>232</v>
      </c>
      <c r="L13" s="225">
        <v>43074</v>
      </c>
      <c r="M13" s="225">
        <v>6655</v>
      </c>
      <c r="N13" s="1253">
        <f>SUM(L13:M13)</f>
        <v>49729</v>
      </c>
      <c r="O13" s="232"/>
      <c r="P13" s="232">
        <v>110</v>
      </c>
      <c r="Q13" s="232">
        <f t="shared" ref="Q13:Q14" si="2">L13+O13</f>
        <v>43074</v>
      </c>
      <c r="R13" s="232">
        <f t="shared" ref="R13:R14" si="3">M13+P13</f>
        <v>6765</v>
      </c>
      <c r="S13" s="232">
        <f t="shared" ref="S13:S14" si="4">SUM(Q13:R13)</f>
        <v>49839</v>
      </c>
    </row>
    <row r="14" spans="1:19" x14ac:dyDescent="0.2">
      <c r="A14" s="624">
        <f t="shared" si="0"/>
        <v>4</v>
      </c>
      <c r="B14" s="134" t="s">
        <v>207</v>
      </c>
      <c r="C14" s="97">
        <f>'tám, végl. pe.átv  '!C58</f>
        <v>0</v>
      </c>
      <c r="D14" s="97">
        <f>'tám, végl. pe.átv  '!D58</f>
        <v>0</v>
      </c>
      <c r="E14" s="225">
        <f t="shared" si="1"/>
        <v>0</v>
      </c>
      <c r="F14" s="225"/>
      <c r="G14" s="225">
        <v>1235</v>
      </c>
      <c r="H14" s="225">
        <f>C14+F14</f>
        <v>0</v>
      </c>
      <c r="I14" s="225">
        <f>D14+G14</f>
        <v>1235</v>
      </c>
      <c r="J14" s="390">
        <f>H14+I14</f>
        <v>1235</v>
      </c>
      <c r="K14" s="97" t="s">
        <v>233</v>
      </c>
      <c r="L14" s="225">
        <v>162500</v>
      </c>
      <c r="M14" s="225">
        <v>49746</v>
      </c>
      <c r="N14" s="1253">
        <f>SUM(L14:M14)</f>
        <v>212246</v>
      </c>
      <c r="O14" s="232">
        <v>14500</v>
      </c>
      <c r="P14" s="232"/>
      <c r="Q14" s="232">
        <f t="shared" si="2"/>
        <v>177000</v>
      </c>
      <c r="R14" s="232">
        <f t="shared" si="3"/>
        <v>49746</v>
      </c>
      <c r="S14" s="232">
        <f t="shared" si="4"/>
        <v>226746</v>
      </c>
    </row>
    <row r="15" spans="1:19" ht="12" customHeight="1" x14ac:dyDescent="0.2">
      <c r="A15" s="624">
        <f t="shared" si="0"/>
        <v>5</v>
      </c>
      <c r="B15" s="104"/>
      <c r="C15" s="97"/>
      <c r="D15" s="97"/>
      <c r="E15" s="97"/>
      <c r="F15" s="97"/>
      <c r="G15" s="97"/>
      <c r="H15" s="225">
        <f t="shared" ref="H15:H20" si="5">C15+F15</f>
        <v>0</v>
      </c>
      <c r="I15" s="225">
        <f t="shared" ref="I15:I20" si="6">D15+G15</f>
        <v>0</v>
      </c>
      <c r="J15" s="390">
        <f t="shared" ref="J15:J20" si="7">H15+I15</f>
        <v>0</v>
      </c>
      <c r="K15" s="97"/>
      <c r="L15" s="1254"/>
      <c r="M15" s="1254"/>
      <c r="N15" s="225"/>
      <c r="O15" s="232"/>
      <c r="P15" s="232"/>
      <c r="Q15" s="232"/>
      <c r="R15" s="232"/>
      <c r="S15" s="232"/>
    </row>
    <row r="16" spans="1:19" x14ac:dyDescent="0.2">
      <c r="A16" s="624">
        <f t="shared" si="0"/>
        <v>6</v>
      </c>
      <c r="B16" s="134" t="s">
        <v>38</v>
      </c>
      <c r="C16" s="97"/>
      <c r="D16" s="97"/>
      <c r="E16" s="97"/>
      <c r="F16" s="97"/>
      <c r="G16" s="97"/>
      <c r="H16" s="225"/>
      <c r="I16" s="225"/>
      <c r="J16" s="390"/>
      <c r="K16" s="97" t="s">
        <v>28</v>
      </c>
      <c r="L16" s="232"/>
      <c r="M16" s="232"/>
      <c r="N16" s="232"/>
      <c r="O16" s="232"/>
      <c r="P16" s="232"/>
      <c r="Q16" s="232"/>
      <c r="R16" s="232"/>
      <c r="S16" s="232"/>
    </row>
    <row r="17" spans="1:19" x14ac:dyDescent="0.2">
      <c r="A17" s="624">
        <f t="shared" si="0"/>
        <v>7</v>
      </c>
      <c r="B17" s="134"/>
      <c r="C17" s="97"/>
      <c r="D17" s="97"/>
      <c r="E17" s="97"/>
      <c r="F17" s="97"/>
      <c r="G17" s="97"/>
      <c r="H17" s="225"/>
      <c r="I17" s="225"/>
      <c r="J17" s="390"/>
      <c r="K17" s="97" t="s">
        <v>30</v>
      </c>
      <c r="L17" s="232"/>
      <c r="M17" s="232"/>
      <c r="N17" s="232"/>
      <c r="O17" s="232"/>
      <c r="P17" s="232"/>
      <c r="Q17" s="232"/>
      <c r="R17" s="232"/>
      <c r="S17" s="232"/>
    </row>
    <row r="18" spans="1:19" x14ac:dyDescent="0.2">
      <c r="A18" s="624">
        <f t="shared" si="0"/>
        <v>8</v>
      </c>
      <c r="B18" s="134" t="s">
        <v>39</v>
      </c>
      <c r="C18" s="97"/>
      <c r="D18" s="97"/>
      <c r="E18" s="97"/>
      <c r="F18" s="97"/>
      <c r="G18" s="97"/>
      <c r="H18" s="225"/>
      <c r="I18" s="225"/>
      <c r="J18" s="390"/>
      <c r="K18" s="97" t="s">
        <v>472</v>
      </c>
      <c r="L18" s="232"/>
      <c r="M18" s="232"/>
      <c r="N18" s="232"/>
      <c r="O18" s="232"/>
      <c r="P18" s="232"/>
      <c r="Q18" s="232"/>
      <c r="R18" s="232"/>
      <c r="S18" s="232"/>
    </row>
    <row r="19" spans="1:19" x14ac:dyDescent="0.2">
      <c r="A19" s="624">
        <f t="shared" si="0"/>
        <v>9</v>
      </c>
      <c r="B19" s="137" t="s">
        <v>40</v>
      </c>
      <c r="C19" s="135"/>
      <c r="D19" s="135"/>
      <c r="E19" s="135"/>
      <c r="F19" s="135"/>
      <c r="G19" s="135"/>
      <c r="H19" s="225"/>
      <c r="I19" s="225"/>
      <c r="J19" s="390"/>
      <c r="K19" s="97" t="s">
        <v>471</v>
      </c>
      <c r="L19" s="232"/>
      <c r="M19" s="232"/>
      <c r="N19" s="232"/>
      <c r="O19" s="232"/>
      <c r="P19" s="232"/>
      <c r="Q19" s="232"/>
      <c r="R19" s="232"/>
      <c r="S19" s="232"/>
    </row>
    <row r="20" spans="1:19" x14ac:dyDescent="0.2">
      <c r="A20" s="624">
        <f t="shared" si="0"/>
        <v>10</v>
      </c>
      <c r="B20" s="134" t="s">
        <v>210</v>
      </c>
      <c r="C20" s="1253">
        <f>54374+1800</f>
        <v>56174</v>
      </c>
      <c r="D20" s="1253">
        <f>47860-1960</f>
        <v>45900</v>
      </c>
      <c r="E20" s="1253">
        <f>SUM(C20:D20)</f>
        <v>102074</v>
      </c>
      <c r="F20" s="1253"/>
      <c r="G20" s="1253"/>
      <c r="H20" s="225">
        <f t="shared" si="5"/>
        <v>56174</v>
      </c>
      <c r="I20" s="225">
        <f t="shared" si="6"/>
        <v>45900</v>
      </c>
      <c r="J20" s="390">
        <f t="shared" si="7"/>
        <v>102074</v>
      </c>
      <c r="K20" s="97" t="s">
        <v>205</v>
      </c>
      <c r="L20" s="232"/>
      <c r="M20" s="232"/>
      <c r="N20" s="232"/>
      <c r="O20" s="232"/>
      <c r="P20" s="232"/>
      <c r="Q20" s="232"/>
      <c r="R20" s="232"/>
      <c r="S20" s="232"/>
    </row>
    <row r="21" spans="1:19" x14ac:dyDescent="0.2">
      <c r="A21" s="624">
        <f t="shared" si="0"/>
        <v>11</v>
      </c>
      <c r="B21" s="147"/>
      <c r="C21" s="135"/>
      <c r="D21" s="135"/>
      <c r="E21" s="135"/>
      <c r="F21" s="135"/>
      <c r="G21" s="135"/>
      <c r="H21" s="135"/>
      <c r="I21" s="225"/>
      <c r="J21" s="1263"/>
      <c r="K21" s="97" t="s">
        <v>979</v>
      </c>
      <c r="L21" s="232"/>
      <c r="M21" s="232"/>
      <c r="N21" s="232"/>
      <c r="O21" s="232"/>
      <c r="P21" s="232"/>
      <c r="Q21" s="232"/>
      <c r="R21" s="232"/>
      <c r="S21" s="232"/>
    </row>
    <row r="22" spans="1:19" s="102" customFormat="1" x14ac:dyDescent="0.2">
      <c r="A22" s="624">
        <f t="shared" si="0"/>
        <v>12</v>
      </c>
      <c r="B22" s="147" t="s">
        <v>42</v>
      </c>
      <c r="C22" s="135"/>
      <c r="D22" s="135"/>
      <c r="E22" s="135"/>
      <c r="F22" s="135"/>
      <c r="G22" s="135"/>
      <c r="H22" s="135"/>
      <c r="I22" s="135"/>
      <c r="J22" s="1263"/>
      <c r="K22" s="97" t="s">
        <v>980</v>
      </c>
      <c r="L22" s="232"/>
      <c r="M22" s="232"/>
      <c r="N22" s="232"/>
      <c r="O22" s="289"/>
      <c r="P22" s="289"/>
      <c r="Q22" s="289"/>
      <c r="R22" s="289"/>
      <c r="S22" s="289"/>
    </row>
    <row r="23" spans="1:19" s="102" customFormat="1" x14ac:dyDescent="0.2">
      <c r="A23" s="624">
        <f t="shared" si="0"/>
        <v>13</v>
      </c>
      <c r="B23" s="147" t="s">
        <v>43</v>
      </c>
      <c r="C23" s="135"/>
      <c r="D23" s="135"/>
      <c r="E23" s="135"/>
      <c r="F23" s="135"/>
      <c r="G23" s="135"/>
      <c r="H23" s="135"/>
      <c r="I23" s="135"/>
      <c r="J23" s="1263"/>
      <c r="K23" s="136"/>
      <c r="L23" s="232"/>
      <c r="M23" s="232"/>
      <c r="N23" s="232"/>
      <c r="O23" s="289"/>
      <c r="P23" s="289"/>
      <c r="Q23" s="289"/>
      <c r="R23" s="289"/>
      <c r="S23" s="289"/>
    </row>
    <row r="24" spans="1:19" x14ac:dyDescent="0.2">
      <c r="A24" s="624">
        <f t="shared" si="0"/>
        <v>14</v>
      </c>
      <c r="B24" s="134" t="s">
        <v>44</v>
      </c>
      <c r="C24" s="105"/>
      <c r="D24" s="105"/>
      <c r="E24" s="105"/>
      <c r="F24" s="105"/>
      <c r="G24" s="105"/>
      <c r="H24" s="105"/>
      <c r="I24" s="105"/>
      <c r="J24" s="1264"/>
      <c r="K24" s="1256" t="s">
        <v>66</v>
      </c>
      <c r="L24" s="288">
        <f>SUM(L12:L22)</f>
        <v>405574</v>
      </c>
      <c r="M24" s="288">
        <f>SUM(M12:M22)</f>
        <v>90841</v>
      </c>
      <c r="N24" s="288">
        <f>SUM(N12:N22)</f>
        <v>496415</v>
      </c>
      <c r="O24" s="288">
        <f>SUM(O12:O23)</f>
        <v>15042</v>
      </c>
      <c r="P24" s="288">
        <f>SUM(P12:P23)</f>
        <v>1235</v>
      </c>
      <c r="Q24" s="288">
        <f>SUM(Q12:Q23)</f>
        <v>420616</v>
      </c>
      <c r="R24" s="288">
        <f>SUM(R12:R23)</f>
        <v>92076</v>
      </c>
      <c r="S24" s="288">
        <f>SUM(S12:S23)</f>
        <v>512692</v>
      </c>
    </row>
    <row r="25" spans="1:19" x14ac:dyDescent="0.2">
      <c r="A25" s="624">
        <f t="shared" si="0"/>
        <v>15</v>
      </c>
      <c r="B25" s="134" t="s">
        <v>45</v>
      </c>
      <c r="C25" s="135"/>
      <c r="D25" s="135"/>
      <c r="E25" s="135"/>
      <c r="F25" s="135"/>
      <c r="G25" s="135"/>
      <c r="H25" s="135"/>
      <c r="I25" s="135"/>
      <c r="J25" s="1263"/>
      <c r="K25" s="136"/>
      <c r="L25" s="232"/>
      <c r="M25" s="232"/>
      <c r="N25" s="232"/>
      <c r="O25" s="232"/>
      <c r="P25" s="232"/>
      <c r="Q25" s="232"/>
      <c r="R25" s="232"/>
      <c r="S25" s="232"/>
    </row>
    <row r="26" spans="1:19" x14ac:dyDescent="0.2">
      <c r="A26" s="624">
        <f t="shared" si="0"/>
        <v>16</v>
      </c>
      <c r="B26" s="134" t="s">
        <v>46</v>
      </c>
      <c r="C26" s="103"/>
      <c r="D26" s="103"/>
      <c r="E26" s="103"/>
      <c r="F26" s="103"/>
      <c r="G26" s="103"/>
      <c r="H26" s="103"/>
      <c r="I26" s="103"/>
      <c r="J26" s="421"/>
      <c r="K26" s="103" t="s">
        <v>34</v>
      </c>
      <c r="L26" s="290"/>
      <c r="M26" s="290"/>
      <c r="N26" s="232"/>
      <c r="O26" s="232"/>
      <c r="P26" s="232"/>
      <c r="Q26" s="232"/>
      <c r="R26" s="232"/>
      <c r="S26" s="232"/>
    </row>
    <row r="27" spans="1:19" x14ac:dyDescent="0.2">
      <c r="A27" s="624">
        <f t="shared" si="0"/>
        <v>17</v>
      </c>
      <c r="B27" s="134" t="s">
        <v>47</v>
      </c>
      <c r="C27" s="97"/>
      <c r="D27" s="97"/>
      <c r="E27" s="97"/>
      <c r="F27" s="97"/>
      <c r="G27" s="97"/>
      <c r="H27" s="97"/>
      <c r="I27" s="97"/>
      <c r="J27" s="375"/>
      <c r="K27" s="97" t="s">
        <v>291</v>
      </c>
      <c r="L27" s="232">
        <f>'felhalm. kiad.  '!M104</f>
        <v>6000</v>
      </c>
      <c r="M27" s="232">
        <f>'felhalm. kiad.  '!P104</f>
        <v>0</v>
      </c>
      <c r="N27" s="232">
        <f>SUM(L27:M27)</f>
        <v>6000</v>
      </c>
      <c r="O27" s="232"/>
      <c r="P27" s="232"/>
      <c r="Q27" s="232">
        <f>L27+O27</f>
        <v>6000</v>
      </c>
      <c r="R27" s="232">
        <f>M27+P27</f>
        <v>0</v>
      </c>
      <c r="S27" s="232">
        <f>SUM(Q27:R27)</f>
        <v>6000</v>
      </c>
    </row>
    <row r="28" spans="1:19" x14ac:dyDescent="0.2">
      <c r="A28" s="624">
        <f t="shared" si="0"/>
        <v>18</v>
      </c>
      <c r="B28" s="134"/>
      <c r="C28" s="97"/>
      <c r="D28" s="97"/>
      <c r="E28" s="97"/>
      <c r="F28" s="97"/>
      <c r="G28" s="97"/>
      <c r="H28" s="97"/>
      <c r="I28" s="97"/>
      <c r="J28" s="375"/>
      <c r="K28" s="97" t="s">
        <v>31</v>
      </c>
      <c r="L28" s="232"/>
      <c r="M28" s="232"/>
      <c r="N28" s="232"/>
      <c r="O28" s="232"/>
      <c r="P28" s="232"/>
      <c r="Q28" s="232"/>
      <c r="R28" s="232"/>
      <c r="S28" s="232"/>
    </row>
    <row r="29" spans="1:19" x14ac:dyDescent="0.2">
      <c r="A29" s="624">
        <f t="shared" si="0"/>
        <v>19</v>
      </c>
      <c r="B29" s="147" t="s">
        <v>50</v>
      </c>
      <c r="C29" s="97"/>
      <c r="D29" s="97"/>
      <c r="E29" s="97"/>
      <c r="F29" s="97"/>
      <c r="G29" s="97"/>
      <c r="H29" s="97"/>
      <c r="I29" s="97"/>
      <c r="J29" s="375"/>
      <c r="K29" s="97" t="s">
        <v>32</v>
      </c>
      <c r="L29" s="232"/>
      <c r="M29" s="232"/>
      <c r="N29" s="232"/>
      <c r="O29" s="232"/>
      <c r="P29" s="232"/>
      <c r="Q29" s="232"/>
      <c r="R29" s="232"/>
      <c r="S29" s="232"/>
    </row>
    <row r="30" spans="1:19" s="102" customFormat="1" x14ac:dyDescent="0.2">
      <c r="A30" s="624">
        <f t="shared" si="0"/>
        <v>20</v>
      </c>
      <c r="B30" s="147" t="s">
        <v>48</v>
      </c>
      <c r="C30" s="97"/>
      <c r="D30" s="97"/>
      <c r="E30" s="97"/>
      <c r="F30" s="97"/>
      <c r="G30" s="97"/>
      <c r="H30" s="97"/>
      <c r="I30" s="97"/>
      <c r="J30" s="375"/>
      <c r="K30" s="97" t="s">
        <v>473</v>
      </c>
      <c r="L30" s="232"/>
      <c r="M30" s="232"/>
      <c r="N30" s="232"/>
      <c r="O30" s="289"/>
      <c r="P30" s="289"/>
      <c r="Q30" s="289"/>
      <c r="R30" s="289"/>
      <c r="S30" s="289"/>
    </row>
    <row r="31" spans="1:19" x14ac:dyDescent="0.2">
      <c r="A31" s="624">
        <f t="shared" si="0"/>
        <v>21</v>
      </c>
      <c r="B31" s="147"/>
      <c r="C31" s="97"/>
      <c r="D31" s="97"/>
      <c r="E31" s="97"/>
      <c r="F31" s="97"/>
      <c r="G31" s="97"/>
      <c r="H31" s="97"/>
      <c r="I31" s="97"/>
      <c r="J31" s="375"/>
      <c r="K31" s="97" t="s">
        <v>470</v>
      </c>
      <c r="L31" s="232"/>
      <c r="M31" s="232"/>
      <c r="N31" s="232"/>
      <c r="O31" s="232"/>
      <c r="P31" s="232"/>
      <c r="Q31" s="232"/>
      <c r="R31" s="232"/>
      <c r="S31" s="232"/>
    </row>
    <row r="32" spans="1:19" s="9" customFormat="1" x14ac:dyDescent="0.2">
      <c r="A32" s="624">
        <f t="shared" si="0"/>
        <v>22</v>
      </c>
      <c r="B32" s="1257" t="s">
        <v>52</v>
      </c>
      <c r="C32" s="1258">
        <f>C14+C20</f>
        <v>56174</v>
      </c>
      <c r="D32" s="1258">
        <f>D14+D20</f>
        <v>45900</v>
      </c>
      <c r="E32" s="1258">
        <f>E14+E20</f>
        <v>102074</v>
      </c>
      <c r="F32" s="1258">
        <f>SUM(F14:F31)</f>
        <v>0</v>
      </c>
      <c r="G32" s="1258">
        <f>SUM(G14:G31)</f>
        <v>1235</v>
      </c>
      <c r="H32" s="1258">
        <f>C32+F32</f>
        <v>56174</v>
      </c>
      <c r="I32" s="1258">
        <f>D32+G32</f>
        <v>47135</v>
      </c>
      <c r="J32" s="1299">
        <f>H32+I32</f>
        <v>103309</v>
      </c>
      <c r="K32" s="97" t="s">
        <v>466</v>
      </c>
      <c r="L32" s="232"/>
      <c r="M32" s="232"/>
      <c r="N32" s="232"/>
      <c r="O32" s="290"/>
      <c r="P32" s="290"/>
      <c r="Q32" s="290"/>
      <c r="R32" s="290"/>
      <c r="S32" s="290"/>
    </row>
    <row r="33" spans="1:19" x14ac:dyDescent="0.2">
      <c r="A33" s="624">
        <f t="shared" si="0"/>
        <v>23</v>
      </c>
      <c r="B33" s="142" t="s">
        <v>67</v>
      </c>
      <c r="C33" s="144"/>
      <c r="D33" s="144"/>
      <c r="E33" s="144"/>
      <c r="F33" s="144"/>
      <c r="G33" s="144"/>
      <c r="H33" s="144"/>
      <c r="I33" s="144"/>
      <c r="J33" s="1265"/>
      <c r="K33" s="105" t="s">
        <v>68</v>
      </c>
      <c r="L33" s="289">
        <f>SUM(L27:L32)</f>
        <v>6000</v>
      </c>
      <c r="M33" s="289">
        <f>SUM(M27:M32)</f>
        <v>0</v>
      </c>
      <c r="N33" s="289">
        <f>SUM(N27:N31)</f>
        <v>6000</v>
      </c>
      <c r="O33" s="289">
        <v>0</v>
      </c>
      <c r="P33" s="289">
        <v>0</v>
      </c>
      <c r="Q33" s="289">
        <f>SUM(Q27:Q32)</f>
        <v>6000</v>
      </c>
      <c r="R33" s="289">
        <f>SUM(R27:R32)</f>
        <v>0</v>
      </c>
      <c r="S33" s="289">
        <f>SUM(S27:S32)</f>
        <v>6000</v>
      </c>
    </row>
    <row r="34" spans="1:19" x14ac:dyDescent="0.2">
      <c r="A34" s="624">
        <f t="shared" si="0"/>
        <v>24</v>
      </c>
      <c r="B34" s="145" t="s">
        <v>51</v>
      </c>
      <c r="C34" s="140">
        <f>SUM(C32:C33)</f>
        <v>56174</v>
      </c>
      <c r="D34" s="140">
        <f>SUM(D32:D33)</f>
        <v>45900</v>
      </c>
      <c r="E34" s="140">
        <f>SUM(C34:D34)</f>
        <v>102074</v>
      </c>
      <c r="F34" s="140">
        <f>SUM(F32:F33)</f>
        <v>0</v>
      </c>
      <c r="G34" s="140">
        <f>SUM(G32:G33)</f>
        <v>1235</v>
      </c>
      <c r="H34" s="140">
        <f>SUM(H32:H33)</f>
        <v>56174</v>
      </c>
      <c r="I34" s="140">
        <f>SUM(I32:I33)</f>
        <v>47135</v>
      </c>
      <c r="J34" s="1266">
        <f>SUM(J32:J33)</f>
        <v>103309</v>
      </c>
      <c r="K34" s="140" t="s">
        <v>69</v>
      </c>
      <c r="L34" s="290">
        <f>L24+L33</f>
        <v>411574</v>
      </c>
      <c r="M34" s="290">
        <f>M24+M33</f>
        <v>90841</v>
      </c>
      <c r="N34" s="290">
        <f>N24+N33</f>
        <v>502415</v>
      </c>
      <c r="O34" s="290">
        <f>O33+O24</f>
        <v>15042</v>
      </c>
      <c r="P34" s="290">
        <f t="shared" ref="P34:S34" si="8">P33+P24</f>
        <v>1235</v>
      </c>
      <c r="Q34" s="290">
        <f t="shared" si="8"/>
        <v>426616</v>
      </c>
      <c r="R34" s="290">
        <f t="shared" si="8"/>
        <v>92076</v>
      </c>
      <c r="S34" s="290">
        <f t="shared" si="8"/>
        <v>518692</v>
      </c>
    </row>
    <row r="35" spans="1:19" x14ac:dyDescent="0.2">
      <c r="A35" s="624">
        <f t="shared" si="0"/>
        <v>25</v>
      </c>
      <c r="B35" s="147"/>
      <c r="C35" s="136"/>
      <c r="D35" s="136"/>
      <c r="E35" s="136"/>
      <c r="F35" s="136"/>
      <c r="G35" s="136"/>
      <c r="H35" s="136"/>
      <c r="I35" s="136"/>
      <c r="J35" s="1267"/>
      <c r="K35" s="136"/>
      <c r="L35" s="232"/>
      <c r="M35" s="232"/>
      <c r="N35" s="232"/>
      <c r="O35" s="232"/>
      <c r="P35" s="232"/>
      <c r="Q35" s="232"/>
      <c r="R35" s="232"/>
      <c r="S35" s="232"/>
    </row>
    <row r="36" spans="1:19" x14ac:dyDescent="0.2">
      <c r="A36" s="624">
        <f t="shared" si="0"/>
        <v>26</v>
      </c>
      <c r="B36" s="147"/>
      <c r="C36" s="136"/>
      <c r="D36" s="136"/>
      <c r="E36" s="136"/>
      <c r="F36" s="136"/>
      <c r="G36" s="136"/>
      <c r="H36" s="136"/>
      <c r="I36" s="136"/>
      <c r="J36" s="1267"/>
      <c r="K36" s="1256"/>
      <c r="L36" s="288"/>
      <c r="M36" s="288"/>
      <c r="N36" s="288"/>
      <c r="O36" s="232"/>
      <c r="P36" s="232"/>
      <c r="Q36" s="232"/>
      <c r="R36" s="232"/>
      <c r="S36" s="232"/>
    </row>
    <row r="37" spans="1:19" s="9" customFormat="1" x14ac:dyDescent="0.2">
      <c r="A37" s="624">
        <f t="shared" si="0"/>
        <v>27</v>
      </c>
      <c r="B37" s="147"/>
      <c r="C37" s="136"/>
      <c r="D37" s="136"/>
      <c r="E37" s="136"/>
      <c r="F37" s="136"/>
      <c r="G37" s="136"/>
      <c r="H37" s="136"/>
      <c r="I37" s="136"/>
      <c r="J37" s="1267"/>
      <c r="K37" s="136"/>
      <c r="L37" s="232"/>
      <c r="M37" s="232"/>
      <c r="N37" s="232"/>
      <c r="O37" s="290"/>
      <c r="P37" s="290"/>
      <c r="Q37" s="290"/>
      <c r="R37" s="290"/>
      <c r="S37" s="290"/>
    </row>
    <row r="38" spans="1:19" s="9" customFormat="1" x14ac:dyDescent="0.2">
      <c r="A38" s="624">
        <f t="shared" si="0"/>
        <v>28</v>
      </c>
      <c r="B38" s="103" t="s">
        <v>53</v>
      </c>
      <c r="C38" s="103"/>
      <c r="D38" s="103"/>
      <c r="E38" s="103"/>
      <c r="F38" s="103"/>
      <c r="G38" s="103"/>
      <c r="H38" s="103"/>
      <c r="I38" s="103"/>
      <c r="J38" s="421"/>
      <c r="K38" s="103" t="s">
        <v>33</v>
      </c>
      <c r="L38" s="290"/>
      <c r="M38" s="290"/>
      <c r="N38" s="290"/>
      <c r="O38" s="290"/>
      <c r="P38" s="290"/>
      <c r="Q38" s="290"/>
      <c r="R38" s="290"/>
      <c r="S38" s="290"/>
    </row>
    <row r="39" spans="1:19" s="9" customFormat="1" x14ac:dyDescent="0.2">
      <c r="A39" s="624">
        <f t="shared" si="0"/>
        <v>29</v>
      </c>
      <c r="B39" s="1260" t="s">
        <v>726</v>
      </c>
      <c r="C39" s="103"/>
      <c r="D39" s="103"/>
      <c r="E39" s="103"/>
      <c r="F39" s="103"/>
      <c r="G39" s="103"/>
      <c r="H39" s="103"/>
      <c r="I39" s="103"/>
      <c r="J39" s="421"/>
      <c r="K39" s="1260" t="s">
        <v>4</v>
      </c>
      <c r="L39" s="290"/>
      <c r="M39" s="1259"/>
      <c r="N39" s="1259"/>
      <c r="O39" s="290"/>
      <c r="P39" s="290"/>
      <c r="Q39" s="290"/>
      <c r="R39" s="290"/>
      <c r="S39" s="290"/>
    </row>
    <row r="40" spans="1:19" s="9" customFormat="1" x14ac:dyDescent="0.2">
      <c r="A40" s="624">
        <f t="shared" si="0"/>
        <v>30</v>
      </c>
      <c r="B40" s="134" t="s">
        <v>1018</v>
      </c>
      <c r="C40" s="103"/>
      <c r="D40" s="103"/>
      <c r="E40" s="103"/>
      <c r="F40" s="103"/>
      <c r="G40" s="103"/>
      <c r="H40" s="103"/>
      <c r="I40" s="103"/>
      <c r="J40" s="421"/>
      <c r="K40" s="134" t="s">
        <v>3</v>
      </c>
      <c r="L40" s="290"/>
      <c r="M40" s="290"/>
      <c r="N40" s="290"/>
      <c r="O40" s="290"/>
      <c r="P40" s="290"/>
      <c r="Q40" s="290"/>
      <c r="R40" s="290"/>
      <c r="S40" s="290"/>
    </row>
    <row r="41" spans="1:19" x14ac:dyDescent="0.2">
      <c r="A41" s="624">
        <f t="shared" si="0"/>
        <v>31</v>
      </c>
      <c r="B41" s="97" t="s">
        <v>728</v>
      </c>
      <c r="C41" s="151"/>
      <c r="D41" s="151"/>
      <c r="E41" s="151"/>
      <c r="F41" s="151"/>
      <c r="G41" s="151"/>
      <c r="H41" s="151"/>
      <c r="I41" s="151"/>
      <c r="J41" s="1268"/>
      <c r="K41" s="97" t="s">
        <v>5</v>
      </c>
      <c r="L41" s="290"/>
      <c r="M41" s="290"/>
      <c r="N41" s="290"/>
      <c r="O41" s="232"/>
      <c r="P41" s="232"/>
      <c r="Q41" s="232"/>
      <c r="R41" s="232"/>
      <c r="S41" s="232"/>
    </row>
    <row r="42" spans="1:19" x14ac:dyDescent="0.2">
      <c r="A42" s="624">
        <f t="shared" si="0"/>
        <v>32</v>
      </c>
      <c r="B42" s="97" t="s">
        <v>223</v>
      </c>
      <c r="C42" s="97"/>
      <c r="D42" s="97"/>
      <c r="E42" s="97"/>
      <c r="F42" s="97"/>
      <c r="G42" s="97"/>
      <c r="H42" s="97"/>
      <c r="I42" s="97"/>
      <c r="J42" s="375"/>
      <c r="K42" s="97" t="s">
        <v>6</v>
      </c>
      <c r="L42" s="290"/>
      <c r="M42" s="290"/>
      <c r="N42" s="290"/>
      <c r="O42" s="232"/>
      <c r="P42" s="232"/>
      <c r="Q42" s="232"/>
      <c r="R42" s="232"/>
      <c r="S42" s="232"/>
    </row>
    <row r="43" spans="1:19" x14ac:dyDescent="0.2">
      <c r="A43" s="624">
        <f t="shared" si="0"/>
        <v>33</v>
      </c>
      <c r="B43" s="1261" t="s">
        <v>290</v>
      </c>
      <c r="C43" s="97"/>
      <c r="D43" s="97"/>
      <c r="E43" s="97">
        <f>C43+D43</f>
        <v>0</v>
      </c>
      <c r="F43" s="97"/>
      <c r="G43" s="97"/>
      <c r="H43" s="97"/>
      <c r="I43" s="97"/>
      <c r="J43" s="375"/>
      <c r="K43" s="97" t="s">
        <v>7</v>
      </c>
      <c r="L43" s="290"/>
      <c r="M43" s="290"/>
      <c r="N43" s="290"/>
      <c r="O43" s="232"/>
      <c r="P43" s="232"/>
      <c r="Q43" s="232"/>
      <c r="R43" s="232"/>
      <c r="S43" s="232"/>
    </row>
    <row r="44" spans="1:19" x14ac:dyDescent="0.2">
      <c r="A44" s="624">
        <f t="shared" si="0"/>
        <v>34</v>
      </c>
      <c r="B44" s="1261" t="s">
        <v>1014</v>
      </c>
      <c r="C44" s="97"/>
      <c r="D44" s="97"/>
      <c r="E44" s="97"/>
      <c r="F44" s="97"/>
      <c r="G44" s="97"/>
      <c r="H44" s="97"/>
      <c r="I44" s="97"/>
      <c r="J44" s="375"/>
      <c r="K44" s="97"/>
      <c r="L44" s="290"/>
      <c r="M44" s="290"/>
      <c r="N44" s="290"/>
      <c r="O44" s="232"/>
      <c r="P44" s="232"/>
      <c r="Q44" s="232"/>
      <c r="R44" s="232"/>
      <c r="S44" s="232"/>
    </row>
    <row r="45" spans="1:19" x14ac:dyDescent="0.2">
      <c r="A45" s="624">
        <f t="shared" si="0"/>
        <v>35</v>
      </c>
      <c r="B45" s="97" t="s">
        <v>729</v>
      </c>
      <c r="C45" s="97"/>
      <c r="D45" s="97"/>
      <c r="E45" s="97"/>
      <c r="F45" s="97"/>
      <c r="G45" s="97"/>
      <c r="H45" s="97"/>
      <c r="I45" s="97"/>
      <c r="J45" s="375"/>
      <c r="K45" s="97" t="s">
        <v>8</v>
      </c>
      <c r="L45" s="290"/>
      <c r="M45" s="290"/>
      <c r="N45" s="232"/>
      <c r="O45" s="232"/>
      <c r="P45" s="232"/>
      <c r="Q45" s="232"/>
      <c r="R45" s="232"/>
      <c r="S45" s="232"/>
    </row>
    <row r="46" spans="1:19" x14ac:dyDescent="0.2">
      <c r="A46" s="624">
        <f t="shared" si="0"/>
        <v>36</v>
      </c>
      <c r="B46" s="97" t="s">
        <v>730</v>
      </c>
      <c r="C46" s="103"/>
      <c r="D46" s="103"/>
      <c r="E46" s="103"/>
      <c r="F46" s="103"/>
      <c r="G46" s="103"/>
      <c r="H46" s="103"/>
      <c r="I46" s="103"/>
      <c r="J46" s="421"/>
      <c r="K46" s="97" t="s">
        <v>9</v>
      </c>
      <c r="L46" s="290"/>
      <c r="M46" s="290"/>
      <c r="N46" s="232"/>
      <c r="O46" s="232"/>
      <c r="P46" s="232"/>
      <c r="Q46" s="232"/>
      <c r="R46" s="232"/>
      <c r="S46" s="232"/>
    </row>
    <row r="47" spans="1:19" x14ac:dyDescent="0.2">
      <c r="A47" s="624">
        <f t="shared" si="0"/>
        <v>37</v>
      </c>
      <c r="B47" s="97" t="s">
        <v>227</v>
      </c>
      <c r="C47" s="97"/>
      <c r="D47" s="97"/>
      <c r="E47" s="97"/>
      <c r="F47" s="97"/>
      <c r="G47" s="97"/>
      <c r="H47" s="97"/>
      <c r="I47" s="97"/>
      <c r="J47" s="375"/>
      <c r="K47" s="97" t="s">
        <v>10</v>
      </c>
      <c r="L47" s="232"/>
      <c r="M47" s="232"/>
      <c r="N47" s="232"/>
      <c r="O47" s="232"/>
      <c r="P47" s="232"/>
      <c r="Q47" s="232"/>
      <c r="R47" s="232"/>
      <c r="S47" s="232"/>
    </row>
    <row r="48" spans="1:19" x14ac:dyDescent="0.2">
      <c r="A48" s="624">
        <f t="shared" si="0"/>
        <v>38</v>
      </c>
      <c r="B48" s="1261" t="s">
        <v>228</v>
      </c>
      <c r="C48" s="97">
        <f>L24-(C34+C43)</f>
        <v>349400</v>
      </c>
      <c r="D48" s="97">
        <f>M24-(D34+D43)</f>
        <v>44941</v>
      </c>
      <c r="E48" s="97">
        <f>N24-(E34+E43)</f>
        <v>394341</v>
      </c>
      <c r="F48" s="97">
        <f>O24-(F34+F43)</f>
        <v>15042</v>
      </c>
      <c r="G48" s="97">
        <f t="shared" ref="G48:J48" si="9">P24-(G34+G43)</f>
        <v>0</v>
      </c>
      <c r="H48" s="97">
        <f t="shared" si="9"/>
        <v>364442</v>
      </c>
      <c r="I48" s="97">
        <f t="shared" si="9"/>
        <v>44941</v>
      </c>
      <c r="J48" s="375">
        <f t="shared" si="9"/>
        <v>409383</v>
      </c>
      <c r="K48" s="97" t="s">
        <v>11</v>
      </c>
      <c r="L48" s="232"/>
      <c r="M48" s="232"/>
      <c r="N48" s="232"/>
      <c r="O48" s="232"/>
      <c r="P48" s="232"/>
      <c r="Q48" s="232"/>
      <c r="R48" s="232"/>
      <c r="S48" s="232"/>
    </row>
    <row r="49" spans="1:19" x14ac:dyDescent="0.2">
      <c r="A49" s="624">
        <f t="shared" si="0"/>
        <v>39</v>
      </c>
      <c r="B49" s="1261" t="s">
        <v>229</v>
      </c>
      <c r="C49" s="97">
        <f>L33-C33</f>
        <v>6000</v>
      </c>
      <c r="D49" s="97">
        <f>M33-D33</f>
        <v>0</v>
      </c>
      <c r="E49" s="97">
        <f>N33-E33</f>
        <v>6000</v>
      </c>
      <c r="F49" s="97">
        <f>O33-F33</f>
        <v>0</v>
      </c>
      <c r="G49" s="97">
        <f t="shared" ref="G49:J49" si="10">P33-G33</f>
        <v>0</v>
      </c>
      <c r="H49" s="97">
        <f t="shared" si="10"/>
        <v>6000</v>
      </c>
      <c r="I49" s="97">
        <f t="shared" si="10"/>
        <v>0</v>
      </c>
      <c r="J49" s="375">
        <f t="shared" si="10"/>
        <v>6000</v>
      </c>
      <c r="K49" s="97" t="s">
        <v>12</v>
      </c>
      <c r="L49" s="232"/>
      <c r="M49" s="232"/>
      <c r="N49" s="232"/>
      <c r="O49" s="232"/>
      <c r="P49" s="232"/>
      <c r="Q49" s="232"/>
      <c r="R49" s="232"/>
      <c r="S49" s="232"/>
    </row>
    <row r="50" spans="1:19" x14ac:dyDescent="0.2">
      <c r="A50" s="624">
        <f t="shared" si="0"/>
        <v>40</v>
      </c>
      <c r="B50" s="97" t="s">
        <v>1</v>
      </c>
      <c r="C50" s="97"/>
      <c r="D50" s="97"/>
      <c r="E50" s="97"/>
      <c r="F50" s="97"/>
      <c r="G50" s="97"/>
      <c r="H50" s="97"/>
      <c r="I50" s="97"/>
      <c r="J50" s="375"/>
      <c r="K50" s="97" t="s">
        <v>13</v>
      </c>
      <c r="L50" s="232"/>
      <c r="M50" s="232"/>
      <c r="N50" s="232"/>
      <c r="O50" s="232"/>
      <c r="P50" s="232"/>
      <c r="Q50" s="232"/>
      <c r="R50" s="232"/>
      <c r="S50" s="232"/>
    </row>
    <row r="51" spans="1:19" x14ac:dyDescent="0.2">
      <c r="A51" s="624">
        <f t="shared" si="0"/>
        <v>41</v>
      </c>
      <c r="B51" s="97"/>
      <c r="C51" s="97"/>
      <c r="D51" s="97"/>
      <c r="E51" s="97"/>
      <c r="F51" s="97"/>
      <c r="G51" s="97"/>
      <c r="H51" s="97"/>
      <c r="I51" s="97"/>
      <c r="J51" s="375"/>
      <c r="K51" s="97" t="s">
        <v>14</v>
      </c>
      <c r="L51" s="232"/>
      <c r="M51" s="232"/>
      <c r="N51" s="232"/>
      <c r="O51" s="232"/>
      <c r="P51" s="232"/>
      <c r="Q51" s="232"/>
      <c r="R51" s="232"/>
      <c r="S51" s="232"/>
    </row>
    <row r="52" spans="1:19" x14ac:dyDescent="0.2">
      <c r="A52" s="624">
        <f t="shared" si="0"/>
        <v>42</v>
      </c>
      <c r="B52" s="97"/>
      <c r="C52" s="97"/>
      <c r="D52" s="97"/>
      <c r="E52" s="97"/>
      <c r="F52" s="97"/>
      <c r="G52" s="97"/>
      <c r="H52" s="97"/>
      <c r="I52" s="97"/>
      <c r="J52" s="375"/>
      <c r="K52" s="97" t="s">
        <v>15</v>
      </c>
      <c r="L52" s="232"/>
      <c r="M52" s="232"/>
      <c r="N52" s="232"/>
      <c r="O52" s="232"/>
      <c r="P52" s="232"/>
      <c r="Q52" s="232"/>
      <c r="R52" s="232"/>
      <c r="S52" s="232"/>
    </row>
    <row r="53" spans="1:19" ht="12" thickBot="1" x14ac:dyDescent="0.25">
      <c r="A53" s="624">
        <f t="shared" si="0"/>
        <v>43</v>
      </c>
      <c r="B53" s="145" t="s">
        <v>474</v>
      </c>
      <c r="C53" s="103">
        <f>SUM(C39:C51)</f>
        <v>355400</v>
      </c>
      <c r="D53" s="103">
        <f>SUM(D39:D51)</f>
        <v>44941</v>
      </c>
      <c r="E53" s="103">
        <f>SUM(E39:E51)</f>
        <v>400341</v>
      </c>
      <c r="F53" s="103">
        <f>SUM(F48:F52)</f>
        <v>15042</v>
      </c>
      <c r="G53" s="103">
        <f>SUM(G48:G52)</f>
        <v>0</v>
      </c>
      <c r="H53" s="103">
        <f>SUM(H48:H52)</f>
        <v>370442</v>
      </c>
      <c r="I53" s="103">
        <f>SUM(I48:I52)</f>
        <v>44941</v>
      </c>
      <c r="J53" s="421">
        <f>SUM(J48:J52)</f>
        <v>415383</v>
      </c>
      <c r="K53" s="103" t="s">
        <v>467</v>
      </c>
      <c r="L53" s="290">
        <f>SUM(L39:L52)</f>
        <v>0</v>
      </c>
      <c r="M53" s="290">
        <f>SUM(M39:M52)</f>
        <v>0</v>
      </c>
      <c r="N53" s="290">
        <f>SUM(N39:N52)</f>
        <v>0</v>
      </c>
      <c r="O53" s="290">
        <v>0</v>
      </c>
      <c r="P53" s="290">
        <v>0</v>
      </c>
      <c r="Q53" s="290">
        <f>L53+O53</f>
        <v>0</v>
      </c>
      <c r="R53" s="290">
        <f>M53+P53</f>
        <v>0</v>
      </c>
      <c r="S53" s="290">
        <f>SUM(Q53:R53)</f>
        <v>0</v>
      </c>
    </row>
    <row r="54" spans="1:19" ht="12" thickBot="1" x14ac:dyDescent="0.25">
      <c r="A54" s="1061">
        <f t="shared" si="0"/>
        <v>44</v>
      </c>
      <c r="B54" s="1062" t="s">
        <v>469</v>
      </c>
      <c r="C54" s="164">
        <f>C34+C53</f>
        <v>411574</v>
      </c>
      <c r="D54" s="164">
        <f>D34+D53</f>
        <v>90841</v>
      </c>
      <c r="E54" s="164">
        <f>E34+E53</f>
        <v>502415</v>
      </c>
      <c r="F54" s="164">
        <f>F34+F53</f>
        <v>15042</v>
      </c>
      <c r="G54" s="164">
        <f t="shared" ref="G54:J54" si="11">G34+G53</f>
        <v>1235</v>
      </c>
      <c r="H54" s="164">
        <f t="shared" si="11"/>
        <v>426616</v>
      </c>
      <c r="I54" s="164">
        <f t="shared" si="11"/>
        <v>92076</v>
      </c>
      <c r="J54" s="164">
        <f t="shared" si="11"/>
        <v>518692</v>
      </c>
      <c r="K54" s="1275" t="s">
        <v>468</v>
      </c>
      <c r="L54" s="669">
        <f>L34+L53</f>
        <v>411574</v>
      </c>
      <c r="M54" s="669">
        <f>M34+M53</f>
        <v>90841</v>
      </c>
      <c r="N54" s="669">
        <f>N34+N53</f>
        <v>502415</v>
      </c>
      <c r="O54" s="669">
        <f>O34+O53</f>
        <v>15042</v>
      </c>
      <c r="P54" s="669">
        <f t="shared" ref="P54:S54" si="12">P34+P53</f>
        <v>1235</v>
      </c>
      <c r="Q54" s="669">
        <f t="shared" si="12"/>
        <v>426616</v>
      </c>
      <c r="R54" s="669">
        <f t="shared" si="12"/>
        <v>92076</v>
      </c>
      <c r="S54" s="669">
        <f t="shared" si="12"/>
        <v>518692</v>
      </c>
    </row>
    <row r="55" spans="1:19" x14ac:dyDescent="0.2">
      <c r="B55" s="150"/>
      <c r="C55" s="149"/>
      <c r="D55" s="149"/>
      <c r="E55" s="149"/>
      <c r="F55" s="149"/>
      <c r="G55" s="149"/>
      <c r="H55" s="149"/>
      <c r="I55" s="149"/>
      <c r="J55" s="149"/>
      <c r="K55" s="149"/>
      <c r="L55" s="155"/>
      <c r="M55" s="155"/>
      <c r="N55" s="155"/>
    </row>
  </sheetData>
  <sheetProtection selectLockedCells="1" selectUnlockedCells="1"/>
  <mergeCells count="16">
    <mergeCell ref="A1:S1"/>
    <mergeCell ref="Q9:S9"/>
    <mergeCell ref="L8:S8"/>
    <mergeCell ref="K8:K9"/>
    <mergeCell ref="F9:G9"/>
    <mergeCell ref="H9:J9"/>
    <mergeCell ref="C8:J8"/>
    <mergeCell ref="A4:S4"/>
    <mergeCell ref="A5:S5"/>
    <mergeCell ref="A6:S6"/>
    <mergeCell ref="B7:S7"/>
    <mergeCell ref="A8:A10"/>
    <mergeCell ref="B8:B9"/>
    <mergeCell ref="C9:E9"/>
    <mergeCell ref="L9:N9"/>
    <mergeCell ref="O9:P9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5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D46"/>
  <sheetViews>
    <sheetView zoomScale="120" workbookViewId="0">
      <selection activeCell="A9" sqref="A9:S45"/>
    </sheetView>
  </sheetViews>
  <sheetFormatPr defaultColWidth="9.140625" defaultRowHeight="11.25" x14ac:dyDescent="0.2"/>
  <cols>
    <col min="1" max="1" width="4.85546875" style="127" customWidth="1"/>
    <col min="2" max="2" width="41.85546875" style="127" customWidth="1"/>
    <col min="3" max="3" width="10.140625" style="128" customWidth="1"/>
    <col min="4" max="4" width="11.140625" style="128" customWidth="1"/>
    <col min="5" max="10" width="11.28515625" style="128" customWidth="1"/>
    <col min="11" max="11" width="32.42578125" style="128" customWidth="1"/>
    <col min="12" max="12" width="11.5703125" style="128" customWidth="1"/>
    <col min="13" max="13" width="14.7109375" style="128" customWidth="1"/>
    <col min="14" max="14" width="14.5703125" style="128" customWidth="1"/>
    <col min="15" max="30" width="9.140625" style="127"/>
    <col min="31" max="16384" width="9.140625" style="8"/>
  </cols>
  <sheetData>
    <row r="1" spans="1:30" ht="12.75" customHeight="1" x14ac:dyDescent="0.2">
      <c r="B1" s="1301" t="s">
        <v>1227</v>
      </c>
      <c r="C1" s="1301"/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592"/>
    </row>
    <row r="2" spans="1:30" x14ac:dyDescent="0.2">
      <c r="B2" s="463"/>
      <c r="N2" s="129"/>
    </row>
    <row r="3" spans="1:30" s="100" customFormat="1" x14ac:dyDescent="0.2">
      <c r="A3" s="130"/>
      <c r="B3" s="1308" t="s">
        <v>54</v>
      </c>
      <c r="C3" s="1308"/>
      <c r="D3" s="1308"/>
      <c r="E3" s="1308"/>
      <c r="F3" s="1308"/>
      <c r="G3" s="1308"/>
      <c r="H3" s="1308"/>
      <c r="I3" s="1308"/>
      <c r="J3" s="1308"/>
      <c r="K3" s="1308"/>
      <c r="L3" s="1308"/>
      <c r="M3" s="1308"/>
      <c r="N3" s="1308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</row>
    <row r="4" spans="1:30" s="100" customFormat="1" x14ac:dyDescent="0.2">
      <c r="A4" s="130"/>
      <c r="B4" s="1308" t="s">
        <v>1124</v>
      </c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</row>
    <row r="5" spans="1:30" s="100" customFormat="1" ht="12.75" customHeight="1" x14ac:dyDescent="0.2">
      <c r="A5" s="1312" t="s">
        <v>326</v>
      </c>
      <c r="B5" s="1312"/>
      <c r="C5" s="1312"/>
      <c r="D5" s="1312"/>
      <c r="E5" s="1312"/>
      <c r="F5" s="1312"/>
      <c r="G5" s="1312"/>
      <c r="H5" s="1312"/>
      <c r="I5" s="1312"/>
      <c r="J5" s="1312"/>
      <c r="K5" s="1312"/>
      <c r="L5" s="1313"/>
      <c r="M5" s="1313"/>
      <c r="N5" s="1313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</row>
    <row r="6" spans="1:30" s="100" customFormat="1" ht="12.75" customHeight="1" x14ac:dyDescent="0.2">
      <c r="A6" s="1314" t="s">
        <v>56</v>
      </c>
      <c r="B6" s="1316" t="s">
        <v>57</v>
      </c>
      <c r="C6" s="1317" t="s">
        <v>58</v>
      </c>
      <c r="D6" s="1317"/>
      <c r="E6" s="1318"/>
      <c r="F6" s="748"/>
      <c r="G6" s="748"/>
      <c r="H6" s="748"/>
      <c r="I6" s="748"/>
      <c r="J6" s="748"/>
      <c r="K6" s="1319" t="s">
        <v>59</v>
      </c>
      <c r="L6" s="1320" t="s">
        <v>60</v>
      </c>
      <c r="M6" s="1320"/>
      <c r="N6" s="1320"/>
      <c r="O6" s="754"/>
      <c r="P6" s="754"/>
      <c r="Q6" s="754"/>
      <c r="R6" s="754"/>
      <c r="S6" s="754"/>
      <c r="T6" s="130"/>
      <c r="U6" s="130"/>
      <c r="V6" s="130"/>
      <c r="W6" s="130"/>
      <c r="X6" s="130"/>
    </row>
    <row r="7" spans="1:30" s="100" customFormat="1" ht="12.75" customHeight="1" x14ac:dyDescent="0.2">
      <c r="A7" s="1314"/>
      <c r="B7" s="1316"/>
      <c r="C7" s="1309" t="s">
        <v>1125</v>
      </c>
      <c r="D7" s="1309"/>
      <c r="E7" s="1310"/>
      <c r="F7" s="1303" t="s">
        <v>1246</v>
      </c>
      <c r="G7" s="1303"/>
      <c r="H7" s="1303" t="s">
        <v>1246</v>
      </c>
      <c r="I7" s="1303"/>
      <c r="J7" s="1303"/>
      <c r="K7" s="1319"/>
      <c r="L7" s="1311" t="s">
        <v>1125</v>
      </c>
      <c r="M7" s="1311"/>
      <c r="N7" s="1311"/>
      <c r="O7" s="1303" t="s">
        <v>1246</v>
      </c>
      <c r="P7" s="1303"/>
      <c r="Q7" s="1303" t="s">
        <v>1246</v>
      </c>
      <c r="R7" s="1303"/>
      <c r="S7" s="1303"/>
      <c r="T7" s="130"/>
      <c r="U7" s="130"/>
      <c r="V7" s="130"/>
      <c r="W7" s="130"/>
      <c r="X7" s="130"/>
    </row>
    <row r="8" spans="1:30" s="101" customFormat="1" ht="36.6" customHeight="1" x14ac:dyDescent="0.2">
      <c r="A8" s="1315"/>
      <c r="B8" s="1172" t="s">
        <v>61</v>
      </c>
      <c r="C8" s="1154" t="s">
        <v>62</v>
      </c>
      <c r="D8" s="1154" t="s">
        <v>63</v>
      </c>
      <c r="E8" s="1173" t="s">
        <v>64</v>
      </c>
      <c r="F8" s="1031" t="s">
        <v>62</v>
      </c>
      <c r="G8" s="1031" t="s">
        <v>63</v>
      </c>
      <c r="H8" s="1031" t="s">
        <v>62</v>
      </c>
      <c r="I8" s="1031" t="s">
        <v>63</v>
      </c>
      <c r="J8" s="1032" t="s">
        <v>64</v>
      </c>
      <c r="K8" s="1174" t="s">
        <v>65</v>
      </c>
      <c r="L8" s="1162" t="s">
        <v>62</v>
      </c>
      <c r="M8" s="1162" t="s">
        <v>63</v>
      </c>
      <c r="N8" s="1162" t="s">
        <v>64</v>
      </c>
      <c r="O8" s="1160" t="s">
        <v>62</v>
      </c>
      <c r="P8" s="1160" t="s">
        <v>63</v>
      </c>
      <c r="Q8" s="1160" t="s">
        <v>62</v>
      </c>
      <c r="R8" s="1160" t="s">
        <v>63</v>
      </c>
      <c r="S8" s="1160" t="s">
        <v>64</v>
      </c>
      <c r="T8" s="153"/>
      <c r="U8" s="153"/>
      <c r="V8" s="153"/>
      <c r="W8" s="153"/>
      <c r="X8" s="153"/>
    </row>
    <row r="9" spans="1:30" ht="11.45" customHeight="1" x14ac:dyDescent="0.2">
      <c r="A9" s="1175">
        <v>1</v>
      </c>
      <c r="B9" s="1176" t="s">
        <v>24</v>
      </c>
      <c r="C9" s="1049"/>
      <c r="D9" s="1049"/>
      <c r="E9" s="1049"/>
      <c r="F9" s="1049"/>
      <c r="G9" s="1049"/>
      <c r="H9" s="1049"/>
      <c r="I9" s="1049"/>
      <c r="J9" s="1049"/>
      <c r="K9" s="1048" t="s">
        <v>25</v>
      </c>
      <c r="L9" s="1049"/>
      <c r="M9" s="1049"/>
      <c r="N9" s="1042"/>
      <c r="O9" s="1043"/>
      <c r="P9" s="1043"/>
      <c r="Q9" s="1043"/>
      <c r="R9" s="1043"/>
      <c r="S9" s="1043"/>
      <c r="Y9" s="8"/>
      <c r="Z9" s="8"/>
      <c r="AA9" s="8"/>
      <c r="AB9" s="8"/>
      <c r="AC9" s="8"/>
      <c r="AD9" s="8"/>
    </row>
    <row r="10" spans="1:30" x14ac:dyDescent="0.2">
      <c r="A10" s="1175">
        <f>A9+1</f>
        <v>2</v>
      </c>
      <c r="B10" s="1058" t="s">
        <v>35</v>
      </c>
      <c r="C10" s="1040"/>
      <c r="D10" s="1040"/>
      <c r="E10" s="1040">
        <f>SUM(C10:D10)</f>
        <v>0</v>
      </c>
      <c r="F10" s="1040"/>
      <c r="G10" s="1040"/>
      <c r="H10" s="1040"/>
      <c r="I10" s="1040"/>
      <c r="J10" s="1040"/>
      <c r="K10" s="1040" t="s">
        <v>26</v>
      </c>
      <c r="L10" s="1040">
        <f>Össz.önkor.mérleg.!L10</f>
        <v>572377</v>
      </c>
      <c r="M10" s="1040">
        <f>Össz.önkor.mérleg.!M10</f>
        <v>339424</v>
      </c>
      <c r="N10" s="1040">
        <f>Össz.önkor.mérleg.!N10</f>
        <v>911801</v>
      </c>
      <c r="O10" s="1043"/>
      <c r="P10" s="1043"/>
      <c r="Q10" s="1043"/>
      <c r="R10" s="1043"/>
      <c r="S10" s="1043"/>
      <c r="Y10" s="8"/>
      <c r="Z10" s="8"/>
      <c r="AA10" s="8"/>
      <c r="AB10" s="8"/>
      <c r="AC10" s="8"/>
      <c r="AD10" s="8"/>
    </row>
    <row r="11" spans="1:30" x14ac:dyDescent="0.2">
      <c r="A11" s="1175">
        <f t="shared" ref="A11:A45" si="0">A10+1</f>
        <v>3</v>
      </c>
      <c r="B11" s="1058" t="s">
        <v>36</v>
      </c>
      <c r="C11" s="1040">
        <f>Össz.önkor.mérleg.!C11</f>
        <v>722724</v>
      </c>
      <c r="D11" s="1040">
        <f>Össz.önkor.mérleg.!D11</f>
        <v>93769</v>
      </c>
      <c r="E11" s="1040">
        <f>Össz.önkor.mérleg.!E11</f>
        <v>816493</v>
      </c>
      <c r="F11" s="1040"/>
      <c r="G11" s="1040"/>
      <c r="H11" s="1040"/>
      <c r="I11" s="1040"/>
      <c r="J11" s="1040"/>
      <c r="K11" s="1040" t="s">
        <v>27</v>
      </c>
      <c r="L11" s="1040">
        <f>Össz.önkor.mérleg.!L11</f>
        <v>127623</v>
      </c>
      <c r="M11" s="1040">
        <f>Össz.önkor.mérleg.!M11</f>
        <v>82522.320000000007</v>
      </c>
      <c r="N11" s="1040">
        <f>Össz.önkor.mérleg.!N11</f>
        <v>210145.32</v>
      </c>
      <c r="O11" s="1043"/>
      <c r="P11" s="1043"/>
      <c r="Q11" s="1043"/>
      <c r="R11" s="1043"/>
      <c r="S11" s="1043"/>
      <c r="Y11" s="8"/>
      <c r="Z11" s="8"/>
      <c r="AA11" s="8"/>
      <c r="AB11" s="8"/>
      <c r="AC11" s="8"/>
      <c r="AD11" s="8"/>
    </row>
    <row r="12" spans="1:30" x14ac:dyDescent="0.2">
      <c r="A12" s="1175">
        <f t="shared" si="0"/>
        <v>4</v>
      </c>
      <c r="B12" s="1058" t="s">
        <v>983</v>
      </c>
      <c r="C12" s="1040">
        <f>Össz.önkor.mérleg.!C12</f>
        <v>0</v>
      </c>
      <c r="D12" s="1040">
        <f>Össz.önkor.mérleg.!D12</f>
        <v>0</v>
      </c>
      <c r="E12" s="1040">
        <f>Össz.önkor.mérleg.!E12</f>
        <v>0</v>
      </c>
      <c r="F12" s="1040"/>
      <c r="G12" s="1040"/>
      <c r="H12" s="1040"/>
      <c r="I12" s="1040"/>
      <c r="J12" s="1040"/>
      <c r="K12" s="1040" t="s">
        <v>29</v>
      </c>
      <c r="L12" s="1040">
        <f>Össz.önkor.mérleg.!L12</f>
        <v>537209</v>
      </c>
      <c r="M12" s="1040">
        <f>Össz.önkor.mérleg.!M12</f>
        <v>491733</v>
      </c>
      <c r="N12" s="1040">
        <f>Össz.önkor.mérleg.!N12</f>
        <v>1028942</v>
      </c>
      <c r="O12" s="1043"/>
      <c r="P12" s="1043"/>
      <c r="Q12" s="1043"/>
      <c r="R12" s="1043"/>
      <c r="S12" s="1043"/>
      <c r="Y12" s="8"/>
      <c r="Z12" s="8"/>
      <c r="AA12" s="8"/>
      <c r="AB12" s="8"/>
      <c r="AC12" s="8"/>
      <c r="AD12" s="8"/>
    </row>
    <row r="13" spans="1:30" ht="12" customHeight="1" x14ac:dyDescent="0.2">
      <c r="A13" s="1175">
        <f t="shared" si="0"/>
        <v>5</v>
      </c>
      <c r="B13" s="1058" t="s">
        <v>37</v>
      </c>
      <c r="C13" s="1040">
        <f>Össz.önkor.mérleg.!C13</f>
        <v>31548</v>
      </c>
      <c r="D13" s="1040">
        <f>Össz.önkor.mérleg.!D13</f>
        <v>0</v>
      </c>
      <c r="E13" s="1040">
        <f>Össz.önkor.mérleg.!E13</f>
        <v>31548</v>
      </c>
      <c r="F13" s="1040"/>
      <c r="G13" s="1040"/>
      <c r="H13" s="1040"/>
      <c r="I13" s="1040"/>
      <c r="J13" s="1040"/>
      <c r="K13" s="1040"/>
      <c r="L13" s="1040">
        <f>Össz.önkor.mérleg.!L13</f>
        <v>0</v>
      </c>
      <c r="M13" s="1040"/>
      <c r="N13" s="1041"/>
      <c r="O13" s="1043"/>
      <c r="P13" s="1043"/>
      <c r="Q13" s="1043"/>
      <c r="R13" s="1043"/>
      <c r="S13" s="1043"/>
      <c r="Y13" s="8"/>
      <c r="Z13" s="8"/>
      <c r="AA13" s="8"/>
      <c r="AB13" s="8"/>
      <c r="AC13" s="8"/>
      <c r="AD13" s="8"/>
    </row>
    <row r="14" spans="1:30" x14ac:dyDescent="0.2">
      <c r="A14" s="1175">
        <f t="shared" si="0"/>
        <v>6</v>
      </c>
      <c r="B14" s="1058" t="s">
        <v>39</v>
      </c>
      <c r="C14" s="1040">
        <f>Össz.önkor.mérleg.!C16</f>
        <v>543007</v>
      </c>
      <c r="D14" s="1040">
        <f>Össz.önkor.mérleg.!D16</f>
        <v>692313</v>
      </c>
      <c r="E14" s="1040">
        <f>Össz.önkor.mérleg.!E16</f>
        <v>1235320</v>
      </c>
      <c r="F14" s="1040"/>
      <c r="G14" s="1040"/>
      <c r="H14" s="1040"/>
      <c r="I14" s="1040"/>
      <c r="J14" s="1040"/>
      <c r="K14" s="1040" t="s">
        <v>28</v>
      </c>
      <c r="L14" s="1040">
        <f>Össz.önkor.mérleg.!L14</f>
        <v>350</v>
      </c>
      <c r="M14" s="1040">
        <f>Össz.önkor.mérleg.!M14</f>
        <v>13750</v>
      </c>
      <c r="N14" s="1040">
        <f>Össz.önkor.mérleg.!N14</f>
        <v>14100</v>
      </c>
      <c r="O14" s="1043"/>
      <c r="P14" s="1043"/>
      <c r="Q14" s="1043"/>
      <c r="R14" s="1043"/>
      <c r="S14" s="1043"/>
      <c r="Y14" s="8"/>
      <c r="Z14" s="8"/>
      <c r="AA14" s="8"/>
      <c r="AB14" s="8"/>
      <c r="AC14" s="8"/>
      <c r="AD14" s="8"/>
    </row>
    <row r="15" spans="1:30" x14ac:dyDescent="0.2">
      <c r="A15" s="1175">
        <f t="shared" si="0"/>
        <v>7</v>
      </c>
      <c r="B15" s="1058"/>
      <c r="C15" s="1040"/>
      <c r="D15" s="1040"/>
      <c r="E15" s="1040"/>
      <c r="F15" s="1040"/>
      <c r="G15" s="1040"/>
      <c r="H15" s="1040"/>
      <c r="I15" s="1040"/>
      <c r="J15" s="1040"/>
      <c r="K15" s="1040" t="s">
        <v>30</v>
      </c>
      <c r="L15" s="1040">
        <f>Össz.önkor.mérleg.!L15</f>
        <v>0</v>
      </c>
      <c r="M15" s="1042"/>
      <c r="N15" s="1041"/>
      <c r="O15" s="1043"/>
      <c r="P15" s="1043"/>
      <c r="Q15" s="1043"/>
      <c r="R15" s="1043"/>
      <c r="S15" s="1043"/>
      <c r="Y15" s="8"/>
      <c r="Z15" s="8"/>
      <c r="AA15" s="8"/>
      <c r="AB15" s="8"/>
      <c r="AC15" s="8"/>
      <c r="AD15" s="8"/>
    </row>
    <row r="16" spans="1:30" x14ac:dyDescent="0.2">
      <c r="A16" s="1175">
        <f t="shared" si="0"/>
        <v>8</v>
      </c>
      <c r="B16" s="1058" t="s">
        <v>41</v>
      </c>
      <c r="C16" s="1041">
        <f>Össz.önkor.mérleg.!C19</f>
        <v>164294</v>
      </c>
      <c r="D16" s="1041">
        <f>Össz.önkor.mérleg.!D19</f>
        <v>193382</v>
      </c>
      <c r="E16" s="1041">
        <f>Össz.önkor.mérleg.!E19</f>
        <v>357676</v>
      </c>
      <c r="F16" s="1041"/>
      <c r="G16" s="1041"/>
      <c r="H16" s="1041"/>
      <c r="I16" s="1041"/>
      <c r="J16" s="1041"/>
      <c r="K16" s="1040" t="s">
        <v>472</v>
      </c>
      <c r="L16" s="1040">
        <f>Össz.önkor.mérleg.!L16</f>
        <v>7750</v>
      </c>
      <c r="M16" s="1040">
        <f>Össz.önkor.mérleg.!M16</f>
        <v>40162</v>
      </c>
      <c r="N16" s="1040">
        <f>Össz.önkor.mérleg.!N16</f>
        <v>47912</v>
      </c>
      <c r="O16" s="1043"/>
      <c r="P16" s="1043"/>
      <c r="Q16" s="1043"/>
      <c r="R16" s="1043"/>
      <c r="S16" s="1043"/>
      <c r="Y16" s="8"/>
      <c r="Z16" s="8"/>
      <c r="AA16" s="8"/>
      <c r="AB16" s="8"/>
      <c r="AC16" s="8"/>
      <c r="AD16" s="8"/>
    </row>
    <row r="17" spans="1:30" x14ac:dyDescent="0.2">
      <c r="A17" s="1175">
        <f t="shared" si="0"/>
        <v>9</v>
      </c>
      <c r="B17" s="1177" t="s">
        <v>40</v>
      </c>
      <c r="C17" s="1041"/>
      <c r="D17" s="1041"/>
      <c r="E17" s="1041"/>
      <c r="F17" s="1041"/>
      <c r="G17" s="1041"/>
      <c r="H17" s="1041"/>
      <c r="I17" s="1041"/>
      <c r="J17" s="1041"/>
      <c r="K17" s="1040" t="s">
        <v>471</v>
      </c>
      <c r="L17" s="1040">
        <f>Össz.önkor.mérleg.!L17</f>
        <v>266185</v>
      </c>
      <c r="M17" s="1040">
        <f>Össz.önkor.mérleg.!M17</f>
        <v>19908</v>
      </c>
      <c r="N17" s="1040">
        <f>Össz.önkor.mérleg.!N17</f>
        <v>286093</v>
      </c>
      <c r="O17" s="1043"/>
      <c r="P17" s="1043"/>
      <c r="Q17" s="1043"/>
      <c r="R17" s="1043"/>
      <c r="S17" s="1043"/>
      <c r="Y17" s="8"/>
      <c r="Z17" s="8"/>
      <c r="AA17" s="8"/>
      <c r="AB17" s="8"/>
      <c r="AC17" s="8"/>
      <c r="AD17" s="8"/>
    </row>
    <row r="18" spans="1:30" x14ac:dyDescent="0.2">
      <c r="A18" s="1175">
        <f t="shared" si="0"/>
        <v>10</v>
      </c>
      <c r="B18" s="1177"/>
      <c r="C18" s="1041"/>
      <c r="D18" s="1041"/>
      <c r="E18" s="1041"/>
      <c r="F18" s="1041"/>
      <c r="G18" s="1041"/>
      <c r="H18" s="1041"/>
      <c r="I18" s="1041"/>
      <c r="J18" s="1041"/>
      <c r="K18" s="1040" t="s">
        <v>205</v>
      </c>
      <c r="L18" s="1040">
        <f>Össz.önkor.mérleg.!L18</f>
        <v>451</v>
      </c>
      <c r="M18" s="1040">
        <f>Össz.önkor.mérleg.!M18</f>
        <v>0</v>
      </c>
      <c r="N18" s="1040">
        <f>Össz.önkor.mérleg.!N18</f>
        <v>451</v>
      </c>
      <c r="O18" s="1043"/>
      <c r="P18" s="1043"/>
      <c r="Q18" s="1043"/>
      <c r="R18" s="1043"/>
      <c r="S18" s="1043"/>
      <c r="Y18" s="8"/>
      <c r="Z18" s="8"/>
      <c r="AA18" s="8"/>
      <c r="AB18" s="8"/>
      <c r="AC18" s="8"/>
      <c r="AD18" s="8"/>
    </row>
    <row r="19" spans="1:30" x14ac:dyDescent="0.2">
      <c r="A19" s="1175">
        <f t="shared" si="0"/>
        <v>11</v>
      </c>
      <c r="B19" s="1038" t="s">
        <v>50</v>
      </c>
      <c r="C19" s="1042">
        <f>Össz.önkor.mérleg.!C28</f>
        <v>0</v>
      </c>
      <c r="D19" s="1042">
        <f>Össz.önkor.mérleg.!D28</f>
        <v>0</v>
      </c>
      <c r="E19" s="1042">
        <f>Össz.önkor.mérleg.!E28</f>
        <v>0</v>
      </c>
      <c r="F19" s="1042"/>
      <c r="G19" s="1042"/>
      <c r="H19" s="1042"/>
      <c r="I19" s="1042"/>
      <c r="J19" s="1042"/>
      <c r="K19" s="1040" t="s">
        <v>464</v>
      </c>
      <c r="L19" s="1040">
        <f>Össz.önkor.mérleg.!L19</f>
        <v>0</v>
      </c>
      <c r="M19" s="1040">
        <f>Össz.önkor.mérleg.!M19</f>
        <v>65088</v>
      </c>
      <c r="N19" s="1040">
        <f>Össz.önkor.mérleg.!N19</f>
        <v>65088</v>
      </c>
      <c r="O19" s="1043"/>
      <c r="P19" s="1043"/>
      <c r="Q19" s="1043"/>
      <c r="R19" s="1043"/>
      <c r="S19" s="1043"/>
      <c r="Y19" s="8"/>
      <c r="Z19" s="8"/>
      <c r="AA19" s="8"/>
      <c r="AB19" s="8"/>
      <c r="AC19" s="8"/>
      <c r="AD19" s="8"/>
    </row>
    <row r="20" spans="1:30" x14ac:dyDescent="0.2">
      <c r="A20" s="1175">
        <f t="shared" si="0"/>
        <v>12</v>
      </c>
      <c r="B20" s="1038"/>
      <c r="C20" s="1041"/>
      <c r="D20" s="1041"/>
      <c r="E20" s="1041"/>
      <c r="F20" s="1041"/>
      <c r="G20" s="1041"/>
      <c r="H20" s="1041"/>
      <c r="I20" s="1041"/>
      <c r="J20" s="1041"/>
      <c r="K20" s="1040" t="s">
        <v>465</v>
      </c>
      <c r="L20" s="1040">
        <f>Össz.önkor.mérleg.!L20</f>
        <v>20000</v>
      </c>
      <c r="M20" s="1040">
        <f>Össz.önkor.mérleg.!M20</f>
        <v>0</v>
      </c>
      <c r="N20" s="1040">
        <f>Össz.önkor.mérleg.!N20</f>
        <v>20000</v>
      </c>
      <c r="O20" s="1043"/>
      <c r="P20" s="1043"/>
      <c r="Q20" s="1043"/>
      <c r="R20" s="1043"/>
      <c r="S20" s="1043"/>
      <c r="Y20" s="8"/>
      <c r="Z20" s="8"/>
      <c r="AA20" s="8"/>
      <c r="AB20" s="8"/>
      <c r="AC20" s="8"/>
      <c r="AD20" s="8"/>
    </row>
    <row r="21" spans="1:30" x14ac:dyDescent="0.2">
      <c r="A21" s="1175">
        <f t="shared" si="0"/>
        <v>13</v>
      </c>
      <c r="B21" s="1038"/>
      <c r="C21" s="1041"/>
      <c r="D21" s="1041"/>
      <c r="E21" s="1041"/>
      <c r="F21" s="1041"/>
      <c r="G21" s="1041"/>
      <c r="H21" s="1041"/>
      <c r="I21" s="1041"/>
      <c r="J21" s="1041"/>
      <c r="K21" s="1040"/>
      <c r="L21" s="1040"/>
      <c r="M21" s="1042"/>
      <c r="N21" s="1041"/>
      <c r="O21" s="1043"/>
      <c r="P21" s="1043"/>
      <c r="Q21" s="1043"/>
      <c r="R21" s="1043"/>
      <c r="S21" s="1043"/>
      <c r="Y21" s="8"/>
      <c r="Z21" s="8"/>
      <c r="AA21" s="8"/>
      <c r="AB21" s="8"/>
      <c r="AC21" s="8"/>
      <c r="AD21" s="8"/>
    </row>
    <row r="22" spans="1:30" s="102" customFormat="1" x14ac:dyDescent="0.2">
      <c r="A22" s="1175">
        <f t="shared" si="0"/>
        <v>14</v>
      </c>
      <c r="B22" s="1178" t="s">
        <v>52</v>
      </c>
      <c r="C22" s="1179">
        <f>SUM(C11:C20)</f>
        <v>1461573</v>
      </c>
      <c r="D22" s="1179">
        <f>SUM(D11:D20)</f>
        <v>979464</v>
      </c>
      <c r="E22" s="1179">
        <f>SUM(E11:E20)</f>
        <v>2441037</v>
      </c>
      <c r="F22" s="1179"/>
      <c r="G22" s="1179"/>
      <c r="H22" s="1179"/>
      <c r="I22" s="1179"/>
      <c r="J22" s="1179"/>
      <c r="K22" s="1046" t="s">
        <v>66</v>
      </c>
      <c r="L22" s="1046">
        <f>SUM(L10:L21)</f>
        <v>1531945</v>
      </c>
      <c r="M22" s="1046">
        <f>SUM(M10:M21)</f>
        <v>1052587.32</v>
      </c>
      <c r="N22" s="1046">
        <f>SUM(N10:N21)</f>
        <v>2584532.3200000003</v>
      </c>
      <c r="O22" s="1165"/>
      <c r="P22" s="1165"/>
      <c r="Q22" s="1165"/>
      <c r="R22" s="1165"/>
      <c r="S22" s="1165"/>
      <c r="T22" s="154"/>
      <c r="U22" s="154"/>
      <c r="V22" s="154"/>
      <c r="W22" s="154"/>
      <c r="X22" s="154"/>
    </row>
    <row r="23" spans="1:30" s="102" customFormat="1" x14ac:dyDescent="0.2">
      <c r="A23" s="1175">
        <f t="shared" si="0"/>
        <v>15</v>
      </c>
      <c r="B23" s="1038"/>
      <c r="C23" s="1041"/>
      <c r="D23" s="1041"/>
      <c r="E23" s="1041"/>
      <c r="F23" s="1041"/>
      <c r="G23" s="1041"/>
      <c r="H23" s="1041"/>
      <c r="I23" s="1041"/>
      <c r="J23" s="1041"/>
      <c r="K23" s="1042"/>
      <c r="L23" s="1042"/>
      <c r="M23" s="1042"/>
      <c r="N23" s="1042"/>
      <c r="O23" s="1165"/>
      <c r="P23" s="1165"/>
      <c r="Q23" s="1165"/>
      <c r="R23" s="1165"/>
      <c r="S23" s="1165"/>
      <c r="T23" s="154"/>
      <c r="U23" s="154"/>
      <c r="V23" s="154"/>
      <c r="W23" s="154"/>
      <c r="X23" s="154"/>
    </row>
    <row r="24" spans="1:30" x14ac:dyDescent="0.2">
      <c r="A24" s="1175">
        <f t="shared" si="0"/>
        <v>16</v>
      </c>
      <c r="B24" s="1051" t="s">
        <v>51</v>
      </c>
      <c r="C24" s="1045">
        <f>SUM(C22:C23)</f>
        <v>1461573</v>
      </c>
      <c r="D24" s="1045">
        <f>SUM(D22:D23)</f>
        <v>979464</v>
      </c>
      <c r="E24" s="1045">
        <f>SUM(E22:E23)</f>
        <v>2441037</v>
      </c>
      <c r="F24" s="1045"/>
      <c r="G24" s="1045"/>
      <c r="H24" s="1045"/>
      <c r="I24" s="1045"/>
      <c r="J24" s="1045"/>
      <c r="K24" s="1049" t="s">
        <v>69</v>
      </c>
      <c r="L24" s="1049">
        <f>SUM(L22:L23)</f>
        <v>1531945</v>
      </c>
      <c r="M24" s="1049">
        <f>SUM(M22:M23)</f>
        <v>1052587.32</v>
      </c>
      <c r="N24" s="1049">
        <f>SUM(N22:N23)</f>
        <v>2584532.3200000003</v>
      </c>
      <c r="O24" s="1043"/>
      <c r="P24" s="1043"/>
      <c r="Q24" s="1043"/>
      <c r="R24" s="1043"/>
      <c r="S24" s="1043"/>
      <c r="Y24" s="8"/>
      <c r="Z24" s="8"/>
      <c r="AA24" s="8"/>
      <c r="AB24" s="8"/>
      <c r="AC24" s="8"/>
      <c r="AD24" s="8"/>
    </row>
    <row r="25" spans="1:30" x14ac:dyDescent="0.2">
      <c r="A25" s="1175">
        <f t="shared" si="0"/>
        <v>17</v>
      </c>
      <c r="B25" s="1058"/>
      <c r="C25" s="1041"/>
      <c r="D25" s="1041"/>
      <c r="E25" s="1041"/>
      <c r="F25" s="1041"/>
      <c r="G25" s="1041"/>
      <c r="H25" s="1041"/>
      <c r="I25" s="1041"/>
      <c r="J25" s="1041"/>
      <c r="K25" s="1042"/>
      <c r="L25" s="1042"/>
      <c r="M25" s="1042"/>
      <c r="N25" s="1042"/>
      <c r="O25" s="1043"/>
      <c r="P25" s="1043"/>
      <c r="Q25" s="1043"/>
      <c r="R25" s="1043"/>
      <c r="S25" s="1043"/>
      <c r="Y25" s="8"/>
      <c r="Z25" s="8"/>
      <c r="AA25" s="8"/>
      <c r="AB25" s="8"/>
      <c r="AC25" s="8"/>
      <c r="AD25" s="8"/>
    </row>
    <row r="26" spans="1:30" x14ac:dyDescent="0.2">
      <c r="A26" s="1180">
        <f t="shared" si="0"/>
        <v>18</v>
      </c>
      <c r="B26" s="1181" t="s">
        <v>669</v>
      </c>
      <c r="C26" s="1048">
        <f>C24-L24</f>
        <v>-70372</v>
      </c>
      <c r="D26" s="1048">
        <f>D24-M24</f>
        <v>-73123.320000000065</v>
      </c>
      <c r="E26" s="1048">
        <f>E24-N24</f>
        <v>-143495.3200000003</v>
      </c>
      <c r="F26" s="1048"/>
      <c r="G26" s="1048"/>
      <c r="H26" s="1048"/>
      <c r="I26" s="1048"/>
      <c r="J26" s="1048"/>
      <c r="K26" s="1048"/>
      <c r="L26" s="1049"/>
      <c r="M26" s="1049"/>
      <c r="N26" s="1042"/>
      <c r="O26" s="1043"/>
      <c r="P26" s="1043"/>
      <c r="Q26" s="1043"/>
      <c r="R26" s="1043"/>
      <c r="S26" s="1043"/>
      <c r="Y26" s="8"/>
      <c r="Z26" s="8"/>
      <c r="AA26" s="8"/>
      <c r="AB26" s="8"/>
      <c r="AC26" s="8"/>
      <c r="AD26" s="8"/>
    </row>
    <row r="27" spans="1:30" x14ac:dyDescent="0.2">
      <c r="A27" s="1180">
        <f t="shared" si="0"/>
        <v>19</v>
      </c>
      <c r="B27" s="1058"/>
      <c r="C27" s="1040"/>
      <c r="D27" s="1040"/>
      <c r="E27" s="1040"/>
      <c r="F27" s="1040"/>
      <c r="G27" s="1040"/>
      <c r="H27" s="1040"/>
      <c r="I27" s="1040"/>
      <c r="J27" s="1040"/>
      <c r="K27" s="1040"/>
      <c r="L27" s="1042"/>
      <c r="M27" s="1042"/>
      <c r="N27" s="1042"/>
      <c r="O27" s="1043"/>
      <c r="P27" s="1043"/>
      <c r="Q27" s="1043"/>
      <c r="R27" s="1043"/>
      <c r="S27" s="1043"/>
      <c r="Y27" s="8"/>
      <c r="Z27" s="8"/>
      <c r="AA27" s="8"/>
      <c r="AB27" s="8"/>
      <c r="AC27" s="8"/>
      <c r="AD27" s="8"/>
    </row>
    <row r="28" spans="1:30" x14ac:dyDescent="0.2">
      <c r="A28" s="1180">
        <f t="shared" si="0"/>
        <v>20</v>
      </c>
      <c r="B28" s="1048" t="s">
        <v>53</v>
      </c>
      <c r="C28" s="1048"/>
      <c r="D28" s="1048"/>
      <c r="E28" s="1048"/>
      <c r="F28" s="1048"/>
      <c r="G28" s="1048"/>
      <c r="H28" s="1048"/>
      <c r="I28" s="1048"/>
      <c r="J28" s="1048"/>
      <c r="K28" s="1048" t="s">
        <v>33</v>
      </c>
      <c r="L28" s="1042"/>
      <c r="M28" s="1042"/>
      <c r="N28" s="1042"/>
      <c r="O28" s="1043"/>
      <c r="P28" s="1043"/>
      <c r="Q28" s="1043"/>
      <c r="R28" s="1043"/>
      <c r="S28" s="1043"/>
      <c r="Y28" s="8"/>
      <c r="Z28" s="8"/>
      <c r="AA28" s="8"/>
      <c r="AB28" s="8"/>
      <c r="AC28" s="8"/>
      <c r="AD28" s="8"/>
    </row>
    <row r="29" spans="1:30" s="102" customFormat="1" x14ac:dyDescent="0.2">
      <c r="A29" s="1180">
        <f t="shared" si="0"/>
        <v>21</v>
      </c>
      <c r="B29" s="1055" t="s">
        <v>726</v>
      </c>
      <c r="C29" s="1048"/>
      <c r="D29" s="1048"/>
      <c r="E29" s="1048"/>
      <c r="F29" s="1048"/>
      <c r="G29" s="1048"/>
      <c r="H29" s="1048"/>
      <c r="I29" s="1048"/>
      <c r="J29" s="1048"/>
      <c r="K29" s="1055" t="s">
        <v>4</v>
      </c>
      <c r="L29" s="1042"/>
      <c r="M29" s="1042"/>
      <c r="N29" s="1042"/>
      <c r="O29" s="1165"/>
      <c r="P29" s="1165"/>
      <c r="Q29" s="1165"/>
      <c r="R29" s="1165"/>
      <c r="S29" s="1165"/>
      <c r="T29" s="154"/>
      <c r="U29" s="154"/>
      <c r="V29" s="154"/>
      <c r="W29" s="154"/>
      <c r="X29" s="154"/>
    </row>
    <row r="30" spans="1:30" ht="21.75" x14ac:dyDescent="0.2">
      <c r="A30" s="1180">
        <f t="shared" si="0"/>
        <v>22</v>
      </c>
      <c r="B30" s="1182" t="s">
        <v>1082</v>
      </c>
      <c r="C30" s="1040">
        <f>Össz.önkor.mérleg.!C39</f>
        <v>1243160</v>
      </c>
      <c r="D30" s="1040">
        <f>Össz.önkor.mérleg.!D39</f>
        <v>0</v>
      </c>
      <c r="E30" s="1040">
        <f>Össz.önkor.mérleg.!E39</f>
        <v>1243160</v>
      </c>
      <c r="F30" s="1040"/>
      <c r="G30" s="1040"/>
      <c r="H30" s="1040"/>
      <c r="I30" s="1040"/>
      <c r="J30" s="1040"/>
      <c r="K30" s="1038" t="s">
        <v>3</v>
      </c>
      <c r="L30" s="1042"/>
      <c r="M30" s="1042"/>
      <c r="N30" s="1042"/>
      <c r="O30" s="1043"/>
      <c r="P30" s="1043"/>
      <c r="Q30" s="1043"/>
      <c r="R30" s="1043"/>
      <c r="S30" s="1043"/>
      <c r="Y30" s="8"/>
      <c r="Z30" s="8"/>
      <c r="AA30" s="8"/>
      <c r="AB30" s="8"/>
      <c r="AC30" s="8"/>
      <c r="AD30" s="8"/>
    </row>
    <row r="31" spans="1:30" x14ac:dyDescent="0.2">
      <c r="A31" s="1180">
        <f t="shared" si="0"/>
        <v>23</v>
      </c>
      <c r="B31" s="1038" t="s">
        <v>1080</v>
      </c>
      <c r="C31" s="1048">
        <f>-997160-244511-1489</f>
        <v>-1243160</v>
      </c>
      <c r="D31" s="1048">
        <v>0</v>
      </c>
      <c r="E31" s="1040">
        <f>C31+D31</f>
        <v>-1243160</v>
      </c>
      <c r="F31" s="1040"/>
      <c r="G31" s="1040"/>
      <c r="H31" s="1040"/>
      <c r="I31" s="1040"/>
      <c r="J31" s="1040"/>
      <c r="K31" s="1038"/>
      <c r="L31" s="1042"/>
      <c r="M31" s="1042"/>
      <c r="N31" s="1042"/>
      <c r="O31" s="1043"/>
      <c r="P31" s="1043"/>
      <c r="Q31" s="1043"/>
      <c r="R31" s="1043"/>
      <c r="S31" s="1043"/>
      <c r="Y31" s="8"/>
      <c r="Z31" s="8"/>
      <c r="AA31" s="8"/>
      <c r="AB31" s="8"/>
      <c r="AC31" s="8"/>
      <c r="AD31" s="8"/>
    </row>
    <row r="32" spans="1:30" s="9" customFormat="1" x14ac:dyDescent="0.2">
      <c r="A32" s="1180">
        <f t="shared" si="0"/>
        <v>24</v>
      </c>
      <c r="B32" s="1040" t="s">
        <v>677</v>
      </c>
      <c r="C32" s="1060"/>
      <c r="D32" s="1055"/>
      <c r="E32" s="1055">
        <f>SUM(C32:D32)</f>
        <v>0</v>
      </c>
      <c r="F32" s="1055"/>
      <c r="G32" s="1055"/>
      <c r="H32" s="1055"/>
      <c r="I32" s="1055"/>
      <c r="J32" s="1055"/>
      <c r="K32" s="1040" t="s">
        <v>5</v>
      </c>
      <c r="L32" s="1042"/>
      <c r="M32" s="1042"/>
      <c r="N32" s="1042"/>
      <c r="O32" s="1053"/>
      <c r="P32" s="1053"/>
      <c r="Q32" s="1053"/>
      <c r="R32" s="1053"/>
      <c r="S32" s="1053"/>
      <c r="T32" s="150"/>
      <c r="U32" s="150"/>
      <c r="V32" s="150"/>
      <c r="W32" s="150"/>
      <c r="X32" s="150"/>
    </row>
    <row r="33" spans="1:30" x14ac:dyDescent="0.2">
      <c r="A33" s="1180">
        <f t="shared" si="0"/>
        <v>25</v>
      </c>
      <c r="B33" s="1040" t="s">
        <v>727</v>
      </c>
      <c r="C33" s="1040"/>
      <c r="D33" s="1040"/>
      <c r="E33" s="1040"/>
      <c r="F33" s="1040"/>
      <c r="G33" s="1040"/>
      <c r="H33" s="1040"/>
      <c r="I33" s="1040"/>
      <c r="J33" s="1040"/>
      <c r="K33" s="1040" t="s">
        <v>6</v>
      </c>
      <c r="L33" s="1158"/>
      <c r="M33" s="1158"/>
      <c r="N33" s="1158"/>
      <c r="O33" s="1043"/>
      <c r="P33" s="1043"/>
      <c r="Q33" s="1043"/>
      <c r="R33" s="1043"/>
      <c r="S33" s="1043"/>
      <c r="Y33" s="8"/>
      <c r="Z33" s="8"/>
      <c r="AA33" s="8"/>
      <c r="AB33" s="8"/>
      <c r="AC33" s="8"/>
      <c r="AD33" s="8"/>
    </row>
    <row r="34" spans="1:30" x14ac:dyDescent="0.2">
      <c r="A34" s="1180">
        <f t="shared" si="0"/>
        <v>26</v>
      </c>
      <c r="B34" s="1040" t="s">
        <v>679</v>
      </c>
      <c r="C34" s="1040">
        <f>Össz.önkor.mérleg.!C42</f>
        <v>1193985</v>
      </c>
      <c r="D34" s="1040">
        <f>Össz.önkor.mérleg.!D42</f>
        <v>160130</v>
      </c>
      <c r="E34" s="1040">
        <f>SUM(C34:D34)</f>
        <v>1354115</v>
      </c>
      <c r="F34" s="1040"/>
      <c r="G34" s="1040"/>
      <c r="H34" s="1040"/>
      <c r="I34" s="1040"/>
      <c r="J34" s="1040"/>
      <c r="K34" s="1040" t="s">
        <v>7</v>
      </c>
      <c r="L34" s="1049"/>
      <c r="M34" s="1049"/>
      <c r="N34" s="1049"/>
      <c r="O34" s="1043"/>
      <c r="P34" s="1043"/>
      <c r="Q34" s="1043"/>
      <c r="R34" s="1043"/>
      <c r="S34" s="1043"/>
      <c r="Y34" s="8"/>
      <c r="Z34" s="8"/>
      <c r="AA34" s="8"/>
      <c r="AB34" s="8"/>
      <c r="AC34" s="8"/>
      <c r="AD34" s="8"/>
    </row>
    <row r="35" spans="1:30" x14ac:dyDescent="0.2">
      <c r="A35" s="1180">
        <f t="shared" si="0"/>
        <v>27</v>
      </c>
      <c r="B35" s="1040" t="s">
        <v>1014</v>
      </c>
      <c r="C35" s="1040">
        <f>Össz.önkor.mérleg.!C43</f>
        <v>0</v>
      </c>
      <c r="D35" s="1040">
        <f>Össz.önkor.mérleg.!D43</f>
        <v>0</v>
      </c>
      <c r="E35" s="1040">
        <f>Össz.önkor.mérleg.!E43</f>
        <v>0</v>
      </c>
      <c r="F35" s="1040"/>
      <c r="G35" s="1040"/>
      <c r="H35" s="1040"/>
      <c r="I35" s="1040"/>
      <c r="J35" s="1040"/>
      <c r="K35" s="1040"/>
      <c r="L35" s="1049"/>
      <c r="M35" s="1049"/>
      <c r="N35" s="1049"/>
      <c r="O35" s="1043"/>
      <c r="P35" s="1043"/>
      <c r="Q35" s="1043"/>
      <c r="R35" s="1043"/>
      <c r="S35" s="1043"/>
      <c r="Y35" s="8"/>
      <c r="Z35" s="8"/>
      <c r="AA35" s="8"/>
      <c r="AB35" s="8"/>
      <c r="AC35" s="8"/>
      <c r="AD35" s="8"/>
    </row>
    <row r="36" spans="1:30" x14ac:dyDescent="0.2">
      <c r="A36" s="1180">
        <f t="shared" si="0"/>
        <v>28</v>
      </c>
      <c r="B36" s="1058" t="s">
        <v>678</v>
      </c>
      <c r="C36" s="1040">
        <f>-'felhalm. mérleg'!C33</f>
        <v>-1095920</v>
      </c>
      <c r="D36" s="1040">
        <f>-'felhalm. mérleg'!D33</f>
        <v>-83256</v>
      </c>
      <c r="E36" s="1040">
        <f>-'felhalm. mérleg'!E33</f>
        <v>-1179176</v>
      </c>
      <c r="F36" s="1040"/>
      <c r="G36" s="1040"/>
      <c r="H36" s="1040"/>
      <c r="I36" s="1040"/>
      <c r="J36" s="1040"/>
      <c r="K36" s="1040" t="s">
        <v>8</v>
      </c>
      <c r="L36" s="1042"/>
      <c r="M36" s="1042"/>
      <c r="N36" s="1042"/>
      <c r="O36" s="1043"/>
      <c r="P36" s="1043"/>
      <c r="Q36" s="1043"/>
      <c r="R36" s="1043"/>
      <c r="S36" s="1043"/>
      <c r="Y36" s="8"/>
      <c r="Z36" s="8"/>
      <c r="AA36" s="8"/>
      <c r="AB36" s="8"/>
      <c r="AC36" s="8"/>
      <c r="AD36" s="8"/>
    </row>
    <row r="37" spans="1:30" x14ac:dyDescent="0.2">
      <c r="A37" s="1180">
        <f t="shared" si="0"/>
        <v>29</v>
      </c>
      <c r="B37" s="1040" t="s">
        <v>729</v>
      </c>
      <c r="C37" s="1048"/>
      <c r="D37" s="1048"/>
      <c r="E37" s="1048"/>
      <c r="F37" s="1048"/>
      <c r="G37" s="1048"/>
      <c r="H37" s="1048"/>
      <c r="I37" s="1048"/>
      <c r="J37" s="1048"/>
      <c r="K37" s="1040" t="s">
        <v>9</v>
      </c>
      <c r="L37" s="1046">
        <f>Össz.önkor.mérleg.!L45</f>
        <v>27693</v>
      </c>
      <c r="M37" s="1046">
        <f>Össz.önkor.mérleg.!M45</f>
        <v>3751</v>
      </c>
      <c r="N37" s="1046">
        <f>Össz.önkor.mérleg.!N45</f>
        <v>31444</v>
      </c>
      <c r="O37" s="1043"/>
      <c r="P37" s="1043"/>
      <c r="Q37" s="1043"/>
      <c r="R37" s="1043"/>
      <c r="S37" s="1043"/>
      <c r="Y37" s="8"/>
      <c r="Z37" s="8"/>
      <c r="AA37" s="8"/>
      <c r="AB37" s="8"/>
      <c r="AC37" s="8"/>
      <c r="AD37" s="8"/>
    </row>
    <row r="38" spans="1:30" s="9" customFormat="1" x14ac:dyDescent="0.2">
      <c r="A38" s="1180">
        <f t="shared" si="0"/>
        <v>30</v>
      </c>
      <c r="B38" s="1040" t="s">
        <v>730</v>
      </c>
      <c r="C38" s="1040"/>
      <c r="D38" s="1040"/>
      <c r="E38" s="1040"/>
      <c r="F38" s="1040"/>
      <c r="G38" s="1040"/>
      <c r="H38" s="1040"/>
      <c r="I38" s="1040"/>
      <c r="J38" s="1040"/>
      <c r="K38" s="1040" t="s">
        <v>10</v>
      </c>
      <c r="L38" s="1042"/>
      <c r="M38" s="1042"/>
      <c r="N38" s="1042"/>
      <c r="O38" s="1053"/>
      <c r="P38" s="1053"/>
      <c r="Q38" s="1053"/>
      <c r="R38" s="1053"/>
      <c r="S38" s="1053"/>
      <c r="T38" s="150"/>
      <c r="U38" s="150"/>
      <c r="V38" s="150"/>
      <c r="W38" s="150"/>
      <c r="X38" s="150"/>
    </row>
    <row r="39" spans="1:30" s="9" customFormat="1" x14ac:dyDescent="0.2">
      <c r="A39" s="1180">
        <f t="shared" si="0"/>
        <v>31</v>
      </c>
      <c r="B39" s="1040" t="s">
        <v>731</v>
      </c>
      <c r="C39" s="1040"/>
      <c r="D39" s="1040"/>
      <c r="E39" s="1040"/>
      <c r="F39" s="1040"/>
      <c r="G39" s="1040"/>
      <c r="H39" s="1040"/>
      <c r="I39" s="1040"/>
      <c r="J39" s="1040"/>
      <c r="K39" s="1040" t="s">
        <v>11</v>
      </c>
      <c r="L39" s="1049"/>
      <c r="M39" s="1049"/>
      <c r="N39" s="1049"/>
      <c r="O39" s="1053"/>
      <c r="P39" s="1053"/>
      <c r="Q39" s="1053"/>
      <c r="R39" s="1053"/>
      <c r="S39" s="1053"/>
      <c r="T39" s="150"/>
      <c r="U39" s="150"/>
      <c r="V39" s="150"/>
      <c r="W39" s="150"/>
      <c r="X39" s="150"/>
    </row>
    <row r="40" spans="1:30" s="9" customFormat="1" x14ac:dyDescent="0.2">
      <c r="A40" s="1180">
        <f t="shared" si="0"/>
        <v>32</v>
      </c>
      <c r="B40" s="1040" t="s">
        <v>732</v>
      </c>
      <c r="C40" s="1040"/>
      <c r="D40" s="1040"/>
      <c r="E40" s="1040"/>
      <c r="F40" s="1040"/>
      <c r="G40" s="1040"/>
      <c r="H40" s="1040"/>
      <c r="I40" s="1040"/>
      <c r="J40" s="1040"/>
      <c r="K40" s="1040" t="s">
        <v>12</v>
      </c>
      <c r="L40" s="1049"/>
      <c r="M40" s="1051"/>
      <c r="N40" s="1051"/>
      <c r="O40" s="1053"/>
      <c r="P40" s="1053"/>
      <c r="Q40" s="1053"/>
      <c r="R40" s="1053"/>
      <c r="S40" s="1053"/>
      <c r="T40" s="150"/>
      <c r="U40" s="150"/>
      <c r="V40" s="150"/>
      <c r="W40" s="150"/>
      <c r="X40" s="150"/>
    </row>
    <row r="41" spans="1:30" s="9" customFormat="1" x14ac:dyDescent="0.2">
      <c r="A41" s="1180">
        <f t="shared" si="0"/>
        <v>33</v>
      </c>
      <c r="B41" s="1040" t="s">
        <v>0</v>
      </c>
      <c r="C41" s="1040"/>
      <c r="D41" s="1040"/>
      <c r="E41" s="1040"/>
      <c r="F41" s="1040"/>
      <c r="G41" s="1040"/>
      <c r="H41" s="1040"/>
      <c r="I41" s="1040"/>
      <c r="J41" s="1040"/>
      <c r="K41" s="1040" t="s">
        <v>13</v>
      </c>
      <c r="L41" s="1049"/>
      <c r="M41" s="1049"/>
      <c r="N41" s="1049"/>
      <c r="O41" s="1053"/>
      <c r="P41" s="1053"/>
      <c r="Q41" s="1053"/>
      <c r="R41" s="1053"/>
      <c r="S41" s="1053"/>
      <c r="T41" s="150"/>
      <c r="U41" s="150"/>
      <c r="V41" s="150"/>
      <c r="W41" s="150"/>
      <c r="X41" s="150"/>
    </row>
    <row r="42" spans="1:30" x14ac:dyDescent="0.2">
      <c r="A42" s="1180">
        <f t="shared" si="0"/>
        <v>34</v>
      </c>
      <c r="B42" s="1040" t="s">
        <v>1</v>
      </c>
      <c r="C42" s="1040">
        <f>Össz.önkor.mérleg.!C49</f>
        <v>0</v>
      </c>
      <c r="D42" s="1040">
        <f>Össz.önkor.mérleg.!D49</f>
        <v>0</v>
      </c>
      <c r="E42" s="1040">
        <f>Össz.önkor.mérleg.!E49</f>
        <v>0</v>
      </c>
      <c r="F42" s="1040"/>
      <c r="G42" s="1040"/>
      <c r="H42" s="1040"/>
      <c r="I42" s="1040"/>
      <c r="J42" s="1040"/>
      <c r="K42" s="1040" t="s">
        <v>14</v>
      </c>
      <c r="L42" s="1049"/>
      <c r="M42" s="1049"/>
      <c r="N42" s="1049"/>
      <c r="O42" s="1043"/>
      <c r="P42" s="1043"/>
      <c r="Q42" s="1043"/>
      <c r="R42" s="1043"/>
      <c r="S42" s="1043"/>
      <c r="Y42" s="8"/>
      <c r="Z42" s="8"/>
      <c r="AA42" s="8"/>
      <c r="AB42" s="8"/>
      <c r="AC42" s="8"/>
      <c r="AD42" s="8"/>
    </row>
    <row r="43" spans="1:30" x14ac:dyDescent="0.2">
      <c r="A43" s="1180">
        <f t="shared" si="0"/>
        <v>35</v>
      </c>
      <c r="B43" s="1040" t="s">
        <v>2</v>
      </c>
      <c r="C43" s="1040"/>
      <c r="D43" s="1040"/>
      <c r="E43" s="1040"/>
      <c r="F43" s="1040"/>
      <c r="G43" s="1040"/>
      <c r="H43" s="1040"/>
      <c r="I43" s="1040"/>
      <c r="J43" s="1040"/>
      <c r="K43" s="1040" t="s">
        <v>15</v>
      </c>
      <c r="L43" s="1049"/>
      <c r="M43" s="1049"/>
      <c r="N43" s="1049"/>
      <c r="O43" s="1043"/>
      <c r="P43" s="1043"/>
      <c r="Q43" s="1043"/>
      <c r="R43" s="1043"/>
      <c r="S43" s="1043"/>
      <c r="Y43" s="8"/>
      <c r="Z43" s="8"/>
      <c r="AA43" s="8"/>
      <c r="AB43" s="8"/>
      <c r="AC43" s="8"/>
      <c r="AD43" s="8"/>
    </row>
    <row r="44" spans="1:30" x14ac:dyDescent="0.2">
      <c r="A44" s="1180">
        <f t="shared" si="0"/>
        <v>36</v>
      </c>
      <c r="B44" s="1051" t="s">
        <v>474</v>
      </c>
      <c r="C44" s="1048">
        <f>SUM(C29:C42)</f>
        <v>98065</v>
      </c>
      <c r="D44" s="1048">
        <f>SUM(D29:D42)</f>
        <v>76874</v>
      </c>
      <c r="E44" s="1048">
        <f>SUM(E29:E42)</f>
        <v>174939</v>
      </c>
      <c r="F44" s="1048"/>
      <c r="G44" s="1048"/>
      <c r="H44" s="1048"/>
      <c r="I44" s="1048"/>
      <c r="J44" s="1048"/>
      <c r="K44" s="1048" t="s">
        <v>467</v>
      </c>
      <c r="L44" s="1049">
        <f>SUM(L29:L43)</f>
        <v>27693</v>
      </c>
      <c r="M44" s="1049">
        <f>SUM(M29:M43)</f>
        <v>3751</v>
      </c>
      <c r="N44" s="1049">
        <f>SUM(N29:N43)</f>
        <v>31444</v>
      </c>
      <c r="O44" s="1043"/>
      <c r="P44" s="1043"/>
      <c r="Q44" s="1043"/>
      <c r="R44" s="1043"/>
      <c r="S44" s="1043"/>
      <c r="Y44" s="8"/>
      <c r="Z44" s="8"/>
      <c r="AA44" s="8"/>
      <c r="AB44" s="8"/>
      <c r="AC44" s="8"/>
      <c r="AD44" s="8"/>
    </row>
    <row r="45" spans="1:30" x14ac:dyDescent="0.2">
      <c r="A45" s="1180">
        <f t="shared" si="0"/>
        <v>37</v>
      </c>
      <c r="B45" s="1051" t="s">
        <v>469</v>
      </c>
      <c r="C45" s="1049">
        <f>C24+C44</f>
        <v>1559638</v>
      </c>
      <c r="D45" s="1049">
        <f>D24+D44</f>
        <v>1056338</v>
      </c>
      <c r="E45" s="1049">
        <f>E24+E44</f>
        <v>2615976</v>
      </c>
      <c r="F45" s="1049"/>
      <c r="G45" s="1049"/>
      <c r="H45" s="1049"/>
      <c r="I45" s="1049"/>
      <c r="J45" s="1049"/>
      <c r="K45" s="1051" t="s">
        <v>468</v>
      </c>
      <c r="L45" s="1049">
        <f>L24+L44</f>
        <v>1559638</v>
      </c>
      <c r="M45" s="1049">
        <f>M24+M44</f>
        <v>1056338.32</v>
      </c>
      <c r="N45" s="1167">
        <f>N24+N44</f>
        <v>2615976.3200000003</v>
      </c>
      <c r="O45" s="1043"/>
      <c r="P45" s="1043"/>
      <c r="Q45" s="1043"/>
      <c r="R45" s="1043"/>
      <c r="S45" s="1043"/>
      <c r="Y45" s="8"/>
      <c r="Z45" s="8"/>
      <c r="AA45" s="8"/>
      <c r="AB45" s="8"/>
      <c r="AC45" s="8"/>
      <c r="AD45" s="8"/>
    </row>
    <row r="46" spans="1:30" x14ac:dyDescent="0.2">
      <c r="B46" s="150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Y46" s="8"/>
      <c r="Z46" s="8"/>
      <c r="AA46" s="8"/>
      <c r="AB46" s="8"/>
      <c r="AC46" s="8"/>
      <c r="AD46" s="8"/>
    </row>
  </sheetData>
  <sheetProtection selectLockedCells="1" selectUnlockedCells="1"/>
  <mergeCells count="15">
    <mergeCell ref="O7:P7"/>
    <mergeCell ref="Q7:S7"/>
    <mergeCell ref="B1:N1"/>
    <mergeCell ref="C7:E7"/>
    <mergeCell ref="L7:N7"/>
    <mergeCell ref="B3:N3"/>
    <mergeCell ref="B4:N4"/>
    <mergeCell ref="A5:N5"/>
    <mergeCell ref="A6:A8"/>
    <mergeCell ref="B6:B7"/>
    <mergeCell ref="C6:E6"/>
    <mergeCell ref="K6:K7"/>
    <mergeCell ref="L6:N6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82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27" customWidth="1"/>
    <col min="2" max="2" width="36.85546875" style="127" customWidth="1"/>
    <col min="3" max="3" width="11.28515625" style="128" customWidth="1"/>
    <col min="4" max="4" width="13.85546875" style="128" customWidth="1"/>
    <col min="5" max="5" width="13" style="128" customWidth="1"/>
    <col min="6" max="6" width="35.42578125" style="128" customWidth="1"/>
    <col min="7" max="7" width="12.140625" style="230" customWidth="1"/>
    <col min="8" max="8" width="11.42578125" style="230" customWidth="1"/>
    <col min="9" max="9" width="12.85546875" style="230" customWidth="1"/>
    <col min="10" max="10" width="9.140625" style="127"/>
    <col min="11" max="16384" width="9.140625" style="8"/>
  </cols>
  <sheetData>
    <row r="1" spans="1:10" ht="12.75" x14ac:dyDescent="0.2">
      <c r="B1" s="1301" t="s">
        <v>1240</v>
      </c>
      <c r="C1" s="1341"/>
      <c r="D1" s="1341"/>
      <c r="E1" s="1341"/>
      <c r="F1" s="1341"/>
      <c r="G1" s="1341"/>
      <c r="H1" s="1341"/>
      <c r="I1" s="1341"/>
    </row>
    <row r="2" spans="1:10" x14ac:dyDescent="0.2">
      <c r="I2" s="286"/>
    </row>
    <row r="3" spans="1:10" x14ac:dyDescent="0.2">
      <c r="I3" s="286"/>
    </row>
    <row r="4" spans="1:10" s="100" customFormat="1" x14ac:dyDescent="0.2">
      <c r="A4" s="130"/>
      <c r="B4" s="1308" t="s">
        <v>78</v>
      </c>
      <c r="C4" s="1308"/>
      <c r="D4" s="1308"/>
      <c r="E4" s="1308"/>
      <c r="F4" s="1308"/>
      <c r="G4" s="1308"/>
      <c r="H4" s="1308"/>
      <c r="I4" s="1308"/>
      <c r="J4" s="130"/>
    </row>
    <row r="5" spans="1:10" s="100" customFormat="1" x14ac:dyDescent="0.2">
      <c r="A5" s="130"/>
      <c r="B5" s="1406" t="s">
        <v>197</v>
      </c>
      <c r="C5" s="1406"/>
      <c r="D5" s="1406"/>
      <c r="E5" s="1406"/>
      <c r="F5" s="1406"/>
      <c r="G5" s="1406"/>
      <c r="H5" s="1406"/>
      <c r="I5" s="1406"/>
      <c r="J5" s="130"/>
    </row>
    <row r="6" spans="1:10" s="100" customFormat="1" x14ac:dyDescent="0.2">
      <c r="A6" s="130"/>
      <c r="B6" s="1308" t="s">
        <v>1131</v>
      </c>
      <c r="C6" s="1308"/>
      <c r="D6" s="1308"/>
      <c r="E6" s="1308"/>
      <c r="F6" s="1308"/>
      <c r="G6" s="1308"/>
      <c r="H6" s="1308"/>
      <c r="I6" s="1308"/>
      <c r="J6" s="130"/>
    </row>
    <row r="7" spans="1:10" s="100" customFormat="1" x14ac:dyDescent="0.2">
      <c r="A7" s="130"/>
      <c r="B7" s="1522" t="s">
        <v>321</v>
      </c>
      <c r="C7" s="1522"/>
      <c r="D7" s="1522"/>
      <c r="E7" s="1522"/>
      <c r="F7" s="1522"/>
      <c r="G7" s="1522"/>
      <c r="H7" s="1522"/>
      <c r="I7" s="1522"/>
      <c r="J7" s="130"/>
    </row>
    <row r="8" spans="1:10" s="100" customFormat="1" ht="12.75" customHeight="1" x14ac:dyDescent="0.2">
      <c r="A8" s="1353" t="s">
        <v>56</v>
      </c>
      <c r="B8" s="1347" t="s">
        <v>57</v>
      </c>
      <c r="C8" s="1512" t="s">
        <v>58</v>
      </c>
      <c r="D8" s="1513"/>
      <c r="E8" s="1514"/>
      <c r="F8" s="1515" t="s">
        <v>59</v>
      </c>
      <c r="G8" s="1520" t="s">
        <v>60</v>
      </c>
      <c r="H8" s="1521"/>
      <c r="I8" s="1521"/>
      <c r="J8" s="480"/>
    </row>
    <row r="9" spans="1:10" s="100" customFormat="1" ht="12.75" customHeight="1" x14ac:dyDescent="0.2">
      <c r="A9" s="1509"/>
      <c r="B9" s="1511"/>
      <c r="C9" s="1420" t="s">
        <v>1125</v>
      </c>
      <c r="D9" s="1428"/>
      <c r="E9" s="1517"/>
      <c r="F9" s="1516"/>
      <c r="G9" s="1310" t="s">
        <v>1125</v>
      </c>
      <c r="H9" s="1518"/>
      <c r="I9" s="1519"/>
      <c r="J9" s="480"/>
    </row>
    <row r="10" spans="1:10" s="244" customFormat="1" ht="36.6" customHeight="1" x14ac:dyDescent="0.2">
      <c r="A10" s="1510"/>
      <c r="B10" s="243" t="s">
        <v>61</v>
      </c>
      <c r="C10" s="111" t="s">
        <v>62</v>
      </c>
      <c r="D10" s="111" t="s">
        <v>63</v>
      </c>
      <c r="E10" s="111" t="s">
        <v>64</v>
      </c>
      <c r="F10" s="233" t="s">
        <v>65</v>
      </c>
      <c r="G10" s="287" t="s">
        <v>62</v>
      </c>
      <c r="H10" s="287" t="s">
        <v>63</v>
      </c>
      <c r="I10" s="287" t="s">
        <v>64</v>
      </c>
      <c r="J10" s="484"/>
    </row>
    <row r="11" spans="1:10" ht="11.45" customHeight="1" x14ac:dyDescent="0.2">
      <c r="A11" s="131">
        <v>1</v>
      </c>
      <c r="B11" s="132" t="s">
        <v>24</v>
      </c>
      <c r="C11" s="133"/>
      <c r="D11" s="133"/>
      <c r="E11" s="133"/>
      <c r="F11" s="113" t="s">
        <v>25</v>
      </c>
      <c r="G11" s="291"/>
      <c r="H11" s="291"/>
      <c r="I11" s="388"/>
      <c r="J11" s="156"/>
    </row>
    <row r="12" spans="1:10" x14ac:dyDescent="0.2">
      <c r="A12" s="131">
        <f t="shared" ref="A12:A54" si="0">A11+1</f>
        <v>2</v>
      </c>
      <c r="B12" s="134" t="s">
        <v>35</v>
      </c>
      <c r="C12" s="96"/>
      <c r="D12" s="96"/>
      <c r="E12" s="97">
        <f>SUM(C12:D12)</f>
        <v>0</v>
      </c>
      <c r="F12" s="114" t="s">
        <v>231</v>
      </c>
      <c r="G12" s="225">
        <v>85000</v>
      </c>
      <c r="H12" s="225">
        <v>2719</v>
      </c>
      <c r="I12" s="389">
        <f>SUM(G12:H12)</f>
        <v>87719</v>
      </c>
      <c r="J12" s="156"/>
    </row>
    <row r="13" spans="1:10" x14ac:dyDescent="0.2">
      <c r="A13" s="131">
        <f t="shared" si="0"/>
        <v>3</v>
      </c>
      <c r="B13" s="134" t="s">
        <v>36</v>
      </c>
      <c r="C13" s="96"/>
      <c r="D13" s="96"/>
      <c r="E13" s="97">
        <f>SUM(C13:D13)</f>
        <v>0</v>
      </c>
      <c r="F13" s="433" t="s">
        <v>232</v>
      </c>
      <c r="G13" s="225">
        <v>16138</v>
      </c>
      <c r="H13" s="225">
        <v>1160</v>
      </c>
      <c r="I13" s="389">
        <f>SUM(G13:H13)</f>
        <v>17298</v>
      </c>
      <c r="J13" s="156"/>
    </row>
    <row r="14" spans="1:10" x14ac:dyDescent="0.2">
      <c r="A14" s="131">
        <f t="shared" si="0"/>
        <v>4</v>
      </c>
      <c r="B14" s="134" t="s">
        <v>37</v>
      </c>
      <c r="C14" s="96"/>
      <c r="D14" s="96"/>
      <c r="E14" s="97">
        <f>SUM(C14:D14)</f>
        <v>0</v>
      </c>
      <c r="F14" s="114" t="s">
        <v>233</v>
      </c>
      <c r="G14" s="225">
        <v>13994</v>
      </c>
      <c r="H14" s="225"/>
      <c r="I14" s="389">
        <f>SUM(G14:H14)</f>
        <v>13994</v>
      </c>
      <c r="J14" s="156"/>
    </row>
    <row r="15" spans="1:10" ht="12" customHeight="1" x14ac:dyDescent="0.2">
      <c r="A15" s="131">
        <f t="shared" si="0"/>
        <v>5</v>
      </c>
      <c r="B15" s="104"/>
      <c r="C15" s="96"/>
      <c r="D15" s="96"/>
      <c r="E15" s="97"/>
      <c r="F15" s="114"/>
      <c r="G15" s="237"/>
      <c r="H15" s="237"/>
      <c r="I15" s="390"/>
      <c r="J15" s="156"/>
    </row>
    <row r="16" spans="1:10" x14ac:dyDescent="0.2">
      <c r="A16" s="131">
        <f t="shared" si="0"/>
        <v>6</v>
      </c>
      <c r="B16" s="134" t="s">
        <v>38</v>
      </c>
      <c r="C16" s="96"/>
      <c r="D16" s="96"/>
      <c r="E16" s="97">
        <f>SUM(C16:D16)</f>
        <v>0</v>
      </c>
      <c r="F16" s="114" t="s">
        <v>28</v>
      </c>
      <c r="G16" s="232"/>
      <c r="H16" s="232"/>
      <c r="I16" s="391"/>
      <c r="J16" s="156"/>
    </row>
    <row r="17" spans="1:10" x14ac:dyDescent="0.2">
      <c r="A17" s="131">
        <f t="shared" si="0"/>
        <v>7</v>
      </c>
      <c r="B17" s="134"/>
      <c r="C17" s="96"/>
      <c r="D17" s="96"/>
      <c r="E17" s="97"/>
      <c r="F17" s="114" t="s">
        <v>30</v>
      </c>
      <c r="G17" s="232"/>
      <c r="H17" s="232"/>
      <c r="I17" s="391"/>
      <c r="J17" s="156"/>
    </row>
    <row r="18" spans="1:10" x14ac:dyDescent="0.2">
      <c r="A18" s="131">
        <f t="shared" si="0"/>
        <v>8</v>
      </c>
      <c r="B18" s="134" t="s">
        <v>39</v>
      </c>
      <c r="C18" s="96"/>
      <c r="D18" s="96"/>
      <c r="E18" s="97">
        <f>SUM(C18:D18)</f>
        <v>0</v>
      </c>
      <c r="F18" s="114" t="s">
        <v>472</v>
      </c>
      <c r="G18" s="232"/>
      <c r="H18" s="232"/>
      <c r="I18" s="391"/>
      <c r="J18" s="156"/>
    </row>
    <row r="19" spans="1:10" x14ac:dyDescent="0.2">
      <c r="A19" s="131">
        <f t="shared" si="0"/>
        <v>9</v>
      </c>
      <c r="B19" s="137" t="s">
        <v>40</v>
      </c>
      <c r="C19" s="135"/>
      <c r="D19" s="135"/>
      <c r="E19" s="135"/>
      <c r="F19" s="114" t="s">
        <v>471</v>
      </c>
      <c r="G19" s="232"/>
      <c r="H19" s="232"/>
      <c r="I19" s="391"/>
      <c r="J19" s="156"/>
    </row>
    <row r="20" spans="1:10" x14ac:dyDescent="0.2">
      <c r="A20" s="131">
        <f t="shared" si="0"/>
        <v>10</v>
      </c>
      <c r="B20" s="94" t="s">
        <v>41</v>
      </c>
      <c r="C20" s="135"/>
      <c r="D20" s="135"/>
      <c r="E20" s="135">
        <f>SUM(C20:D20)</f>
        <v>0</v>
      </c>
      <c r="F20" s="128" t="s">
        <v>978</v>
      </c>
      <c r="G20" s="232"/>
      <c r="H20" s="232"/>
      <c r="I20" s="391"/>
      <c r="J20" s="156"/>
    </row>
    <row r="21" spans="1:10" x14ac:dyDescent="0.2">
      <c r="A21" s="131">
        <f t="shared" si="0"/>
        <v>11</v>
      </c>
      <c r="C21" s="135"/>
      <c r="D21" s="135"/>
      <c r="E21" s="135"/>
      <c r="F21" s="114" t="s">
        <v>979</v>
      </c>
      <c r="G21" s="232"/>
      <c r="H21" s="232"/>
      <c r="I21" s="391"/>
      <c r="J21" s="156"/>
    </row>
    <row r="22" spans="1:10" s="102" customFormat="1" x14ac:dyDescent="0.2">
      <c r="A22" s="131">
        <f t="shared" si="0"/>
        <v>12</v>
      </c>
      <c r="B22" s="127" t="s">
        <v>42</v>
      </c>
      <c r="C22" s="135"/>
      <c r="D22" s="135"/>
      <c r="E22" s="135"/>
      <c r="F22" s="114" t="s">
        <v>980</v>
      </c>
      <c r="G22" s="232"/>
      <c r="H22" s="232"/>
      <c r="I22" s="391"/>
      <c r="J22" s="481"/>
    </row>
    <row r="23" spans="1:10" s="102" customFormat="1" x14ac:dyDescent="0.2">
      <c r="A23" s="131">
        <f t="shared" si="0"/>
        <v>13</v>
      </c>
      <c r="B23" s="127" t="s">
        <v>43</v>
      </c>
      <c r="C23" s="135"/>
      <c r="D23" s="135"/>
      <c r="E23" s="135"/>
      <c r="F23" s="138"/>
      <c r="G23" s="232"/>
      <c r="H23" s="232"/>
      <c r="I23" s="391"/>
      <c r="J23" s="481"/>
    </row>
    <row r="24" spans="1:10" x14ac:dyDescent="0.2">
      <c r="A24" s="131">
        <f t="shared" si="0"/>
        <v>14</v>
      </c>
      <c r="B24" s="134" t="s">
        <v>44</v>
      </c>
      <c r="C24" s="105"/>
      <c r="D24" s="105"/>
      <c r="E24" s="105"/>
      <c r="F24" s="139" t="s">
        <v>66</v>
      </c>
      <c r="G24" s="288">
        <f>SUM(G12:G22)</f>
        <v>115132</v>
      </c>
      <c r="H24" s="288">
        <f>SUM(H12:H22)</f>
        <v>3879</v>
      </c>
      <c r="I24" s="392">
        <f>SUM(I12:I22)</f>
        <v>119011</v>
      </c>
      <c r="J24" s="156"/>
    </row>
    <row r="25" spans="1:10" x14ac:dyDescent="0.2">
      <c r="A25" s="131">
        <f t="shared" si="0"/>
        <v>15</v>
      </c>
      <c r="B25" s="134" t="s">
        <v>45</v>
      </c>
      <c r="C25" s="135"/>
      <c r="D25" s="135"/>
      <c r="E25" s="135"/>
      <c r="F25" s="138"/>
      <c r="G25" s="232"/>
      <c r="H25" s="232"/>
      <c r="I25" s="391"/>
      <c r="J25" s="156"/>
    </row>
    <row r="26" spans="1:10" x14ac:dyDescent="0.2">
      <c r="A26" s="131">
        <f t="shared" si="0"/>
        <v>16</v>
      </c>
      <c r="B26" s="94" t="s">
        <v>46</v>
      </c>
      <c r="C26" s="103"/>
      <c r="D26" s="103"/>
      <c r="E26" s="103"/>
      <c r="F26" s="115" t="s">
        <v>34</v>
      </c>
      <c r="G26" s="290"/>
      <c r="H26" s="290"/>
      <c r="I26" s="391"/>
      <c r="J26" s="156"/>
    </row>
    <row r="27" spans="1:10" x14ac:dyDescent="0.2">
      <c r="A27" s="131">
        <f t="shared" si="0"/>
        <v>17</v>
      </c>
      <c r="B27" s="134" t="s">
        <v>47</v>
      </c>
      <c r="C27" s="97"/>
      <c r="D27" s="97"/>
      <c r="E27" s="97"/>
      <c r="F27" s="114" t="s">
        <v>242</v>
      </c>
      <c r="G27" s="232">
        <f>'felhalm. kiad.  '!M120</f>
        <v>1400</v>
      </c>
      <c r="H27" s="232">
        <f>'felhalm. kiad.  '!P120</f>
        <v>0</v>
      </c>
      <c r="I27" s="391">
        <f>SUM(G27:H27)</f>
        <v>1400</v>
      </c>
      <c r="J27" s="156"/>
    </row>
    <row r="28" spans="1:10" x14ac:dyDescent="0.2">
      <c r="A28" s="131">
        <f t="shared" si="0"/>
        <v>18</v>
      </c>
      <c r="B28" s="134"/>
      <c r="C28" s="97"/>
      <c r="D28" s="97"/>
      <c r="E28" s="97"/>
      <c r="F28" s="114" t="s">
        <v>31</v>
      </c>
      <c r="G28" s="232"/>
      <c r="H28" s="232"/>
      <c r="I28" s="391"/>
      <c r="J28" s="156"/>
    </row>
    <row r="29" spans="1:10" x14ac:dyDescent="0.2">
      <c r="A29" s="131">
        <f t="shared" si="0"/>
        <v>19</v>
      </c>
      <c r="B29" s="127" t="s">
        <v>50</v>
      </c>
      <c r="C29" s="97"/>
      <c r="D29" s="97"/>
      <c r="E29" s="97"/>
      <c r="F29" s="114" t="s">
        <v>32</v>
      </c>
      <c r="G29" s="232"/>
      <c r="H29" s="232"/>
      <c r="I29" s="391"/>
      <c r="J29" s="156"/>
    </row>
    <row r="30" spans="1:10" s="102" customFormat="1" x14ac:dyDescent="0.2">
      <c r="A30" s="131">
        <f t="shared" si="0"/>
        <v>20</v>
      </c>
      <c r="B30" s="127" t="s">
        <v>48</v>
      </c>
      <c r="C30" s="97"/>
      <c r="D30" s="97"/>
      <c r="E30" s="97"/>
      <c r="F30" s="114" t="s">
        <v>473</v>
      </c>
      <c r="G30" s="232"/>
      <c r="H30" s="232"/>
      <c r="I30" s="391"/>
      <c r="J30" s="481"/>
    </row>
    <row r="31" spans="1:10" x14ac:dyDescent="0.2">
      <c r="A31" s="131">
        <f t="shared" si="0"/>
        <v>21</v>
      </c>
      <c r="C31" s="97"/>
      <c r="D31" s="97"/>
      <c r="E31" s="97"/>
      <c r="F31" s="114" t="s">
        <v>470</v>
      </c>
      <c r="G31" s="232"/>
      <c r="H31" s="232"/>
      <c r="I31" s="391"/>
      <c r="J31" s="156"/>
    </row>
    <row r="32" spans="1:10" s="9" customFormat="1" x14ac:dyDescent="0.2">
      <c r="A32" s="131">
        <f t="shared" si="0"/>
        <v>22</v>
      </c>
      <c r="B32" s="141" t="s">
        <v>52</v>
      </c>
      <c r="C32" s="135">
        <f>C14+C20</f>
        <v>0</v>
      </c>
      <c r="D32" s="135">
        <f>D14+D20</f>
        <v>0</v>
      </c>
      <c r="E32" s="135">
        <f>E14+E20</f>
        <v>0</v>
      </c>
      <c r="F32" s="114" t="s">
        <v>466</v>
      </c>
      <c r="G32" s="230"/>
      <c r="H32" s="230"/>
      <c r="I32" s="391"/>
      <c r="J32" s="414"/>
    </row>
    <row r="33" spans="1:10" x14ac:dyDescent="0.2">
      <c r="A33" s="131">
        <f t="shared" si="0"/>
        <v>23</v>
      </c>
      <c r="B33" s="142" t="s">
        <v>67</v>
      </c>
      <c r="C33" s="144"/>
      <c r="D33" s="144"/>
      <c r="E33" s="144"/>
      <c r="F33" s="143" t="s">
        <v>68</v>
      </c>
      <c r="G33" s="289">
        <f>SUM(G27:G32)</f>
        <v>1400</v>
      </c>
      <c r="H33" s="289">
        <f>SUM(H27:H32)</f>
        <v>0</v>
      </c>
      <c r="I33" s="393">
        <f>SUM(I27:I31)</f>
        <v>1400</v>
      </c>
      <c r="J33" s="156"/>
    </row>
    <row r="34" spans="1:10" x14ac:dyDescent="0.2">
      <c r="A34" s="131">
        <f t="shared" si="0"/>
        <v>24</v>
      </c>
      <c r="B34" s="145" t="s">
        <v>51</v>
      </c>
      <c r="C34" s="140">
        <f>SUM(C32:C33)</f>
        <v>0</v>
      </c>
      <c r="D34" s="140">
        <f>SUM(D32:D33)</f>
        <v>0</v>
      </c>
      <c r="E34" s="140">
        <f>SUM(C34:D34)</f>
        <v>0</v>
      </c>
      <c r="F34" s="146" t="s">
        <v>69</v>
      </c>
      <c r="G34" s="290">
        <f>G24+G33</f>
        <v>116532</v>
      </c>
      <c r="H34" s="290">
        <f>H24+H33</f>
        <v>3879</v>
      </c>
      <c r="I34" s="374">
        <f>I24+I33</f>
        <v>120411</v>
      </c>
      <c r="J34" s="156"/>
    </row>
    <row r="35" spans="1:10" x14ac:dyDescent="0.2">
      <c r="A35" s="131">
        <f t="shared" si="0"/>
        <v>25</v>
      </c>
      <c r="B35" s="147"/>
      <c r="C35" s="136"/>
      <c r="D35" s="136"/>
      <c r="E35" s="136"/>
      <c r="F35" s="138"/>
      <c r="G35" s="232"/>
      <c r="H35" s="232"/>
      <c r="I35" s="391"/>
      <c r="J35" s="156"/>
    </row>
    <row r="36" spans="1:10" x14ac:dyDescent="0.2">
      <c r="A36" s="131">
        <f t="shared" si="0"/>
        <v>26</v>
      </c>
      <c r="B36" s="147"/>
      <c r="C36" s="136"/>
      <c r="D36" s="136"/>
      <c r="E36" s="136"/>
      <c r="F36" s="139"/>
      <c r="G36" s="288"/>
      <c r="H36" s="288"/>
      <c r="I36" s="392"/>
      <c r="J36" s="156"/>
    </row>
    <row r="37" spans="1:10" s="9" customFormat="1" x14ac:dyDescent="0.2">
      <c r="A37" s="131">
        <f t="shared" si="0"/>
        <v>27</v>
      </c>
      <c r="B37" s="147"/>
      <c r="C37" s="136"/>
      <c r="D37" s="136"/>
      <c r="E37" s="136"/>
      <c r="F37" s="138"/>
      <c r="G37" s="232"/>
      <c r="H37" s="232"/>
      <c r="I37" s="391"/>
      <c r="J37" s="414"/>
    </row>
    <row r="38" spans="1:10" s="9" customFormat="1" x14ac:dyDescent="0.2">
      <c r="A38" s="624">
        <f t="shared" si="0"/>
        <v>28</v>
      </c>
      <c r="B38" s="103" t="s">
        <v>53</v>
      </c>
      <c r="C38" s="103"/>
      <c r="D38" s="103"/>
      <c r="E38" s="103"/>
      <c r="F38" s="115" t="s">
        <v>33</v>
      </c>
      <c r="G38" s="290"/>
      <c r="H38" s="290"/>
      <c r="I38" s="374"/>
      <c r="J38" s="414"/>
    </row>
    <row r="39" spans="1:10" s="9" customFormat="1" x14ac:dyDescent="0.2">
      <c r="A39" s="131">
        <f t="shared" si="0"/>
        <v>29</v>
      </c>
      <c r="B39" s="112" t="s">
        <v>726</v>
      </c>
      <c r="C39" s="103"/>
      <c r="D39" s="103"/>
      <c r="E39" s="103"/>
      <c r="F39" s="148" t="s">
        <v>4</v>
      </c>
      <c r="G39" s="155"/>
      <c r="I39" s="394"/>
      <c r="J39" s="414"/>
    </row>
    <row r="40" spans="1:10" s="9" customFormat="1" x14ac:dyDescent="0.2">
      <c r="A40" s="131">
        <f t="shared" si="0"/>
        <v>30</v>
      </c>
      <c r="B40" s="94" t="s">
        <v>1019</v>
      </c>
      <c r="C40" s="103"/>
      <c r="D40" s="103"/>
      <c r="E40" s="103"/>
      <c r="F40" s="434" t="s">
        <v>3</v>
      </c>
      <c r="G40" s="290"/>
      <c r="H40" s="290"/>
      <c r="I40" s="374"/>
      <c r="J40" s="414"/>
    </row>
    <row r="41" spans="1:10" x14ac:dyDescent="0.2">
      <c r="A41" s="131">
        <f t="shared" si="0"/>
        <v>31</v>
      </c>
      <c r="B41" s="96" t="s">
        <v>728</v>
      </c>
      <c r="C41" s="151"/>
      <c r="D41" s="151"/>
      <c r="E41" s="151"/>
      <c r="F41" s="114" t="s">
        <v>5</v>
      </c>
      <c r="G41" s="290"/>
      <c r="H41" s="290"/>
      <c r="I41" s="374"/>
      <c r="J41" s="156"/>
    </row>
    <row r="42" spans="1:10" x14ac:dyDescent="0.2">
      <c r="A42" s="131">
        <f t="shared" si="0"/>
        <v>32</v>
      </c>
      <c r="B42" s="96" t="s">
        <v>223</v>
      </c>
      <c r="C42" s="97"/>
      <c r="D42" s="97"/>
      <c r="E42" s="97"/>
      <c r="F42" s="114" t="s">
        <v>6</v>
      </c>
      <c r="G42" s="155"/>
      <c r="H42" s="155"/>
      <c r="I42" s="374"/>
      <c r="J42" s="156"/>
    </row>
    <row r="43" spans="1:10" x14ac:dyDescent="0.2">
      <c r="A43" s="131">
        <f t="shared" si="0"/>
        <v>33</v>
      </c>
      <c r="B43" s="432" t="s">
        <v>224</v>
      </c>
      <c r="C43" s="97"/>
      <c r="D43" s="97"/>
      <c r="E43" s="97">
        <f>C43+D43</f>
        <v>0</v>
      </c>
      <c r="F43" s="114" t="s">
        <v>7</v>
      </c>
      <c r="G43" s="155"/>
      <c r="H43" s="155"/>
      <c r="I43" s="374"/>
      <c r="J43" s="156"/>
    </row>
    <row r="44" spans="1:10" x14ac:dyDescent="0.2">
      <c r="A44" s="131">
        <f t="shared" si="0"/>
        <v>34</v>
      </c>
      <c r="B44" s="432" t="s">
        <v>1014</v>
      </c>
      <c r="C44" s="97"/>
      <c r="D44" s="97"/>
      <c r="E44" s="97"/>
      <c r="F44" s="114"/>
      <c r="G44" s="155"/>
      <c r="H44" s="155"/>
      <c r="I44" s="374"/>
      <c r="J44" s="156"/>
    </row>
    <row r="45" spans="1:10" x14ac:dyDescent="0.2">
      <c r="A45" s="131">
        <f t="shared" si="0"/>
        <v>35</v>
      </c>
      <c r="B45" s="97" t="s">
        <v>729</v>
      </c>
      <c r="C45" s="97"/>
      <c r="D45" s="97"/>
      <c r="E45" s="97"/>
      <c r="F45" s="114" t="s">
        <v>8</v>
      </c>
      <c r="G45" s="290"/>
      <c r="H45" s="290"/>
      <c r="I45" s="391"/>
      <c r="J45" s="156"/>
    </row>
    <row r="46" spans="1:10" x14ac:dyDescent="0.2">
      <c r="A46" s="131">
        <f t="shared" si="0"/>
        <v>36</v>
      </c>
      <c r="B46" s="97" t="s">
        <v>730</v>
      </c>
      <c r="C46" s="103"/>
      <c r="D46" s="103"/>
      <c r="E46" s="103"/>
      <c r="F46" s="114" t="s">
        <v>9</v>
      </c>
      <c r="G46" s="290"/>
      <c r="H46" s="290"/>
      <c r="I46" s="391"/>
      <c r="J46" s="156"/>
    </row>
    <row r="47" spans="1:10" x14ac:dyDescent="0.2">
      <c r="A47" s="131">
        <f t="shared" si="0"/>
        <v>37</v>
      </c>
      <c r="B47" s="96" t="s">
        <v>227</v>
      </c>
      <c r="C47" s="97"/>
      <c r="D47" s="97"/>
      <c r="E47" s="97"/>
      <c r="F47" s="114" t="s">
        <v>10</v>
      </c>
      <c r="G47" s="232"/>
      <c r="H47" s="232"/>
      <c r="I47" s="391"/>
      <c r="J47" s="156"/>
    </row>
    <row r="48" spans="1:10" x14ac:dyDescent="0.2">
      <c r="A48" s="131">
        <f t="shared" si="0"/>
        <v>38</v>
      </c>
      <c r="B48" s="432" t="s">
        <v>228</v>
      </c>
      <c r="C48" s="97">
        <f>G24-(C34+C43)</f>
        <v>115132</v>
      </c>
      <c r="D48" s="97">
        <f>H24-(D34+D43)</f>
        <v>3879</v>
      </c>
      <c r="E48" s="97">
        <f>I24-(E34+E43)</f>
        <v>119011</v>
      </c>
      <c r="F48" s="114" t="s">
        <v>11</v>
      </c>
      <c r="G48" s="232"/>
      <c r="H48" s="232"/>
      <c r="I48" s="391"/>
      <c r="J48" s="156"/>
    </row>
    <row r="49" spans="1:10" x14ac:dyDescent="0.2">
      <c r="A49" s="131">
        <f t="shared" si="0"/>
        <v>39</v>
      </c>
      <c r="B49" s="432" t="s">
        <v>229</v>
      </c>
      <c r="C49" s="97">
        <f>G33-C33</f>
        <v>1400</v>
      </c>
      <c r="D49" s="97"/>
      <c r="E49" s="97">
        <f>I33-E33</f>
        <v>1400</v>
      </c>
      <c r="F49" s="114" t="s">
        <v>12</v>
      </c>
      <c r="G49" s="232"/>
      <c r="H49" s="232"/>
      <c r="I49" s="391"/>
      <c r="J49" s="156"/>
    </row>
    <row r="50" spans="1:10" x14ac:dyDescent="0.2">
      <c r="A50" s="131">
        <f t="shared" si="0"/>
        <v>40</v>
      </c>
      <c r="B50" s="96" t="s">
        <v>1</v>
      </c>
      <c r="C50" s="97"/>
      <c r="D50" s="97"/>
      <c r="E50" s="97"/>
      <c r="F50" s="114" t="s">
        <v>13</v>
      </c>
      <c r="G50" s="232"/>
      <c r="H50" s="232"/>
      <c r="I50" s="391"/>
      <c r="J50" s="156"/>
    </row>
    <row r="51" spans="1:10" x14ac:dyDescent="0.2">
      <c r="A51" s="131">
        <f t="shared" si="0"/>
        <v>41</v>
      </c>
      <c r="B51" s="96"/>
      <c r="C51" s="97"/>
      <c r="D51" s="97"/>
      <c r="E51" s="97"/>
      <c r="F51" s="114" t="s">
        <v>14</v>
      </c>
      <c r="G51" s="232"/>
      <c r="H51" s="232"/>
      <c r="I51" s="391"/>
      <c r="J51" s="156"/>
    </row>
    <row r="52" spans="1:10" x14ac:dyDescent="0.2">
      <c r="A52" s="131">
        <f t="shared" si="0"/>
        <v>42</v>
      </c>
      <c r="B52" s="96"/>
      <c r="C52" s="97"/>
      <c r="D52" s="97"/>
      <c r="E52" s="97"/>
      <c r="F52" s="114" t="s">
        <v>15</v>
      </c>
      <c r="G52" s="232"/>
      <c r="H52" s="232"/>
      <c r="I52" s="391"/>
      <c r="J52" s="156"/>
    </row>
    <row r="53" spans="1:10" ht="12" thickBot="1" x14ac:dyDescent="0.25">
      <c r="A53" s="131">
        <f t="shared" si="0"/>
        <v>43</v>
      </c>
      <c r="B53" s="145" t="s">
        <v>474</v>
      </c>
      <c r="C53" s="268">
        <f>SUM(C39:C51)</f>
        <v>116532</v>
      </c>
      <c r="D53" s="268">
        <f>SUM(D39:D51)</f>
        <v>3879</v>
      </c>
      <c r="E53" s="268">
        <f>SUM(E39:E51)</f>
        <v>120411</v>
      </c>
      <c r="F53" s="115" t="s">
        <v>467</v>
      </c>
      <c r="G53" s="290">
        <f>SUM(G39:G52)</f>
        <v>0</v>
      </c>
      <c r="H53" s="290">
        <f>SUM(H39:H52)</f>
        <v>0</v>
      </c>
      <c r="I53" s="395">
        <f>SUM(I39:I52)</f>
        <v>0</v>
      </c>
      <c r="J53" s="156"/>
    </row>
    <row r="54" spans="1:10" ht="12" thickBot="1" x14ac:dyDescent="0.25">
      <c r="A54" s="131">
        <f t="shared" si="0"/>
        <v>44</v>
      </c>
      <c r="B54" s="152" t="s">
        <v>469</v>
      </c>
      <c r="C54" s="265">
        <f>C34+C53</f>
        <v>116532</v>
      </c>
      <c r="D54" s="265">
        <f>D34+D53</f>
        <v>3879</v>
      </c>
      <c r="E54" s="266">
        <f>E34+E53</f>
        <v>120411</v>
      </c>
      <c r="F54" s="409" t="s">
        <v>468</v>
      </c>
      <c r="G54" s="292">
        <f>G34+G53</f>
        <v>116532</v>
      </c>
      <c r="H54" s="293">
        <f>H34+H53</f>
        <v>3879</v>
      </c>
      <c r="I54" s="292">
        <f>I34+I53</f>
        <v>120411</v>
      </c>
      <c r="J54" s="8"/>
    </row>
    <row r="55" spans="1:10" x14ac:dyDescent="0.2">
      <c r="B55" s="150"/>
      <c r="C55" s="149"/>
      <c r="D55" s="149"/>
      <c r="E55" s="149"/>
      <c r="F55" s="149"/>
      <c r="G55" s="155"/>
      <c r="H55" s="155"/>
      <c r="I55" s="155"/>
      <c r="J55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5"/>
  <sheetViews>
    <sheetView workbookViewId="0">
      <selection activeCell="L53" sqref="L53"/>
    </sheetView>
  </sheetViews>
  <sheetFormatPr defaultColWidth="9.140625" defaultRowHeight="11.25" x14ac:dyDescent="0.2"/>
  <cols>
    <col min="1" max="1" width="4.85546875" style="127" customWidth="1"/>
    <col min="2" max="2" width="38.28515625" style="127" customWidth="1"/>
    <col min="3" max="3" width="10.140625" style="128" customWidth="1"/>
    <col min="4" max="4" width="11.140625" style="128" customWidth="1"/>
    <col min="5" max="5" width="11.5703125" style="128" customWidth="1"/>
    <col min="6" max="6" width="9.85546875" style="128" customWidth="1"/>
    <col min="7" max="7" width="10" style="128" customWidth="1"/>
    <col min="8" max="10" width="11.5703125" style="128" customWidth="1"/>
    <col min="11" max="11" width="38" style="128" customWidth="1"/>
    <col min="12" max="12" width="10.42578125" style="128" customWidth="1"/>
    <col min="13" max="13" width="12" style="230" customWidth="1"/>
    <col min="14" max="14" width="13.28515625" style="230" customWidth="1"/>
    <col min="15" max="15" width="10.7109375" style="127" customWidth="1"/>
    <col min="16" max="16" width="11.140625" style="8" customWidth="1"/>
    <col min="17" max="19" width="11.5703125" style="8" customWidth="1"/>
    <col min="20" max="16384" width="9.140625" style="8"/>
  </cols>
  <sheetData>
    <row r="1" spans="1:19" ht="12.75" customHeight="1" x14ac:dyDescent="0.2">
      <c r="C1" s="1301" t="s">
        <v>1264</v>
      </c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  <c r="O1" s="1301"/>
      <c r="P1" s="1301"/>
      <c r="Q1" s="1301"/>
      <c r="R1" s="1301"/>
      <c r="S1" s="1301"/>
    </row>
    <row r="2" spans="1:19" x14ac:dyDescent="0.2">
      <c r="N2" s="286"/>
    </row>
    <row r="3" spans="1:19" x14ac:dyDescent="0.2">
      <c r="N3" s="286"/>
    </row>
    <row r="4" spans="1:19" s="100" customFormat="1" ht="12.75" customHeight="1" x14ac:dyDescent="0.2">
      <c r="A4" s="1308" t="s">
        <v>78</v>
      </c>
      <c r="B4" s="1308"/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8"/>
      <c r="P4" s="1308"/>
      <c r="Q4" s="1308"/>
      <c r="R4" s="1308"/>
      <c r="S4" s="1308"/>
    </row>
    <row r="5" spans="1:19" s="100" customFormat="1" ht="12.75" customHeight="1" x14ac:dyDescent="0.2">
      <c r="A5" s="1406" t="s">
        <v>734</v>
      </c>
      <c r="B5" s="1406"/>
      <c r="C5" s="1406"/>
      <c r="D5" s="1406"/>
      <c r="E5" s="1406"/>
      <c r="F5" s="1406"/>
      <c r="G5" s="1406"/>
      <c r="H5" s="1406"/>
      <c r="I5" s="1406"/>
      <c r="J5" s="1406"/>
      <c r="K5" s="1406"/>
      <c r="L5" s="1406"/>
      <c r="M5" s="1406"/>
      <c r="N5" s="1406"/>
      <c r="O5" s="1406"/>
      <c r="P5" s="1406"/>
      <c r="Q5" s="1406"/>
      <c r="R5" s="1406"/>
      <c r="S5" s="1406"/>
    </row>
    <row r="6" spans="1:19" s="100" customFormat="1" ht="12.75" customHeight="1" x14ac:dyDescent="0.2">
      <c r="A6" s="1523" t="s">
        <v>1133</v>
      </c>
      <c r="B6" s="1523"/>
      <c r="C6" s="1523"/>
      <c r="D6" s="1523"/>
      <c r="E6" s="1523"/>
      <c r="F6" s="1523"/>
      <c r="G6" s="1523"/>
      <c r="H6" s="1523"/>
      <c r="I6" s="1523"/>
      <c r="J6" s="1523"/>
      <c r="K6" s="1523"/>
      <c r="L6" s="1523"/>
      <c r="M6" s="1523"/>
      <c r="N6" s="1523"/>
      <c r="O6" s="1523"/>
      <c r="P6" s="1523"/>
      <c r="Q6" s="1523"/>
      <c r="R6" s="1523"/>
      <c r="S6" s="1523"/>
    </row>
    <row r="7" spans="1:19" s="100" customFormat="1" x14ac:dyDescent="0.2">
      <c r="A7" s="130"/>
      <c r="B7" s="1302" t="s">
        <v>321</v>
      </c>
      <c r="C7" s="1302"/>
      <c r="D7" s="1302"/>
      <c r="E7" s="1302"/>
      <c r="F7" s="1302"/>
      <c r="G7" s="1302"/>
      <c r="H7" s="1302"/>
      <c r="I7" s="1302"/>
      <c r="J7" s="1302"/>
      <c r="K7" s="1302"/>
      <c r="L7" s="1302"/>
      <c r="M7" s="1302"/>
      <c r="N7" s="1302"/>
      <c r="O7" s="1302"/>
      <c r="P7" s="1302"/>
      <c r="Q7" s="1302"/>
      <c r="R7" s="1302"/>
      <c r="S7" s="1302"/>
    </row>
    <row r="8" spans="1:19" s="100" customFormat="1" ht="12.75" customHeight="1" x14ac:dyDescent="0.2">
      <c r="A8" s="1305" t="s">
        <v>56</v>
      </c>
      <c r="B8" s="1306" t="s">
        <v>57</v>
      </c>
      <c r="C8" s="1306" t="s">
        <v>58</v>
      </c>
      <c r="D8" s="1306"/>
      <c r="E8" s="1306"/>
      <c r="F8" s="1306"/>
      <c r="G8" s="1306"/>
      <c r="H8" s="1306"/>
      <c r="I8" s="1306"/>
      <c r="J8" s="1306"/>
      <c r="K8" s="1307" t="s">
        <v>59</v>
      </c>
      <c r="L8" s="1320" t="s">
        <v>60</v>
      </c>
      <c r="M8" s="1320"/>
      <c r="N8" s="1320"/>
      <c r="O8" s="1320"/>
      <c r="P8" s="1320"/>
      <c r="Q8" s="1320"/>
      <c r="R8" s="1320"/>
      <c r="S8" s="1320"/>
    </row>
    <row r="9" spans="1:19" s="100" customFormat="1" ht="12.75" customHeight="1" x14ac:dyDescent="0.2">
      <c r="A9" s="1305"/>
      <c r="B9" s="1306"/>
      <c r="C9" s="1303" t="s">
        <v>1125</v>
      </c>
      <c r="D9" s="1303"/>
      <c r="E9" s="1303"/>
      <c r="F9" s="1303" t="s">
        <v>1267</v>
      </c>
      <c r="G9" s="1303"/>
      <c r="H9" s="1303" t="s">
        <v>1266</v>
      </c>
      <c r="I9" s="1303"/>
      <c r="J9" s="1303"/>
      <c r="K9" s="1307"/>
      <c r="L9" s="1311" t="s">
        <v>1125</v>
      </c>
      <c r="M9" s="1311"/>
      <c r="N9" s="1311"/>
      <c r="O9" s="1303" t="s">
        <v>1267</v>
      </c>
      <c r="P9" s="1303"/>
      <c r="Q9" s="1303" t="s">
        <v>1266</v>
      </c>
      <c r="R9" s="1303"/>
      <c r="S9" s="1303"/>
    </row>
    <row r="10" spans="1:19" s="101" customFormat="1" ht="36.6" customHeight="1" x14ac:dyDescent="0.2">
      <c r="A10" s="1305"/>
      <c r="B10" s="1164" t="s">
        <v>61</v>
      </c>
      <c r="C10" s="753" t="s">
        <v>62</v>
      </c>
      <c r="D10" s="753" t="s">
        <v>63</v>
      </c>
      <c r="E10" s="753" t="s">
        <v>64</v>
      </c>
      <c r="F10" s="753" t="s">
        <v>62</v>
      </c>
      <c r="G10" s="753" t="s">
        <v>63</v>
      </c>
      <c r="H10" s="753" t="s">
        <v>62</v>
      </c>
      <c r="I10" s="753" t="s">
        <v>63</v>
      </c>
      <c r="J10" s="753" t="s">
        <v>64</v>
      </c>
      <c r="K10" s="1163" t="s">
        <v>65</v>
      </c>
      <c r="L10" s="753" t="s">
        <v>62</v>
      </c>
      <c r="M10" s="755" t="s">
        <v>63</v>
      </c>
      <c r="N10" s="755" t="s">
        <v>64</v>
      </c>
      <c r="O10" s="753" t="s">
        <v>62</v>
      </c>
      <c r="P10" s="753" t="s">
        <v>63</v>
      </c>
      <c r="Q10" s="753" t="s">
        <v>62</v>
      </c>
      <c r="R10" s="753" t="s">
        <v>63</v>
      </c>
      <c r="S10" s="753" t="s">
        <v>64</v>
      </c>
    </row>
    <row r="11" spans="1:19" ht="11.45" customHeight="1" x14ac:dyDescent="0.2">
      <c r="A11" s="624">
        <v>1</v>
      </c>
      <c r="B11" s="1252" t="s">
        <v>24</v>
      </c>
      <c r="C11" s="140"/>
      <c r="D11" s="140"/>
      <c r="E11" s="140"/>
      <c r="F11" s="140"/>
      <c r="G11" s="140"/>
      <c r="H11" s="140"/>
      <c r="I11" s="140"/>
      <c r="J11" s="1262"/>
      <c r="K11" s="103" t="s">
        <v>25</v>
      </c>
      <c r="L11" s="140"/>
      <c r="M11" s="290"/>
      <c r="N11" s="232"/>
      <c r="O11" s="231"/>
      <c r="P11" s="231"/>
      <c r="Q11" s="231"/>
      <c r="R11" s="231"/>
      <c r="S11" s="231"/>
    </row>
    <row r="12" spans="1:19" x14ac:dyDescent="0.2">
      <c r="A12" s="624">
        <f t="shared" ref="A12:A54" si="0">A11+1</f>
        <v>2</v>
      </c>
      <c r="B12" s="134" t="s">
        <v>35</v>
      </c>
      <c r="C12" s="97"/>
      <c r="D12" s="97"/>
      <c r="E12" s="97">
        <f t="shared" ref="E12:E18" si="1">SUM(C12:D12)</f>
        <v>0</v>
      </c>
      <c r="F12" s="97"/>
      <c r="G12" s="97"/>
      <c r="H12" s="97"/>
      <c r="I12" s="97"/>
      <c r="J12" s="375"/>
      <c r="K12" s="97" t="s">
        <v>231</v>
      </c>
      <c r="L12" s="225">
        <v>50000</v>
      </c>
      <c r="M12" s="225">
        <f>36406+1935</f>
        <v>38341</v>
      </c>
      <c r="N12" s="1253">
        <f>SUM(L12:M12)</f>
        <v>88341</v>
      </c>
      <c r="O12" s="232"/>
      <c r="P12" s="232"/>
      <c r="Q12" s="232">
        <f>L12+O12</f>
        <v>50000</v>
      </c>
      <c r="R12" s="232">
        <f>M12+P12</f>
        <v>38341</v>
      </c>
      <c r="S12" s="232">
        <f>SUM(Q12:R12)</f>
        <v>88341</v>
      </c>
    </row>
    <row r="13" spans="1:19" x14ac:dyDescent="0.2">
      <c r="A13" s="624">
        <f t="shared" si="0"/>
        <v>3</v>
      </c>
      <c r="B13" s="134" t="s">
        <v>36</v>
      </c>
      <c r="C13" s="97"/>
      <c r="D13" s="97"/>
      <c r="E13" s="97">
        <f t="shared" si="1"/>
        <v>0</v>
      </c>
      <c r="F13" s="97"/>
      <c r="G13" s="97"/>
      <c r="H13" s="97"/>
      <c r="I13" s="97"/>
      <c r="J13" s="375"/>
      <c r="K13" s="97" t="s">
        <v>232</v>
      </c>
      <c r="L13" s="225">
        <v>8783</v>
      </c>
      <c r="M13" s="225">
        <f>9182+392</f>
        <v>9574</v>
      </c>
      <c r="N13" s="1253">
        <f>SUM(L13:M13)</f>
        <v>18357</v>
      </c>
      <c r="O13" s="232"/>
      <c r="P13" s="232"/>
      <c r="Q13" s="232">
        <f t="shared" ref="Q13:Q14" si="2">L13+O13</f>
        <v>8783</v>
      </c>
      <c r="R13" s="232">
        <f t="shared" ref="R13:R14" si="3">M13+P13</f>
        <v>9574</v>
      </c>
      <c r="S13" s="232">
        <f t="shared" ref="S13:S14" si="4">SUM(Q13:R13)</f>
        <v>18357</v>
      </c>
    </row>
    <row r="14" spans="1:19" x14ac:dyDescent="0.2">
      <c r="A14" s="624">
        <f t="shared" si="0"/>
        <v>4</v>
      </c>
      <c r="B14" s="134" t="s">
        <v>37</v>
      </c>
      <c r="C14" s="97"/>
      <c r="D14" s="97"/>
      <c r="E14" s="97">
        <f t="shared" si="1"/>
        <v>0</v>
      </c>
      <c r="F14" s="97"/>
      <c r="G14" s="97"/>
      <c r="H14" s="97"/>
      <c r="I14" s="97"/>
      <c r="J14" s="375"/>
      <c r="K14" s="97" t="s">
        <v>233</v>
      </c>
      <c r="L14" s="225">
        <v>52172</v>
      </c>
      <c r="M14" s="225">
        <f>100000+7000+2522</f>
        <v>109522</v>
      </c>
      <c r="N14" s="1253">
        <f>SUM(L14:M14)</f>
        <v>161694</v>
      </c>
      <c r="O14" s="232"/>
      <c r="P14" s="232">
        <v>-3470</v>
      </c>
      <c r="Q14" s="232">
        <f t="shared" si="2"/>
        <v>52172</v>
      </c>
      <c r="R14" s="232">
        <f t="shared" si="3"/>
        <v>106052</v>
      </c>
      <c r="S14" s="232">
        <f t="shared" si="4"/>
        <v>158224</v>
      </c>
    </row>
    <row r="15" spans="1:19" ht="12" customHeight="1" x14ac:dyDescent="0.2">
      <c r="A15" s="624">
        <f t="shared" si="0"/>
        <v>5</v>
      </c>
      <c r="B15" s="104"/>
      <c r="C15" s="97"/>
      <c r="D15" s="97"/>
      <c r="E15" s="97"/>
      <c r="F15" s="97"/>
      <c r="G15" s="97"/>
      <c r="H15" s="97"/>
      <c r="I15" s="97"/>
      <c r="J15" s="375"/>
      <c r="K15" s="97"/>
      <c r="L15" s="225"/>
      <c r="M15" s="225"/>
      <c r="N15" s="225"/>
      <c r="O15" s="232"/>
      <c r="P15" s="232"/>
      <c r="Q15" s="232"/>
      <c r="R15" s="232"/>
      <c r="S15" s="232"/>
    </row>
    <row r="16" spans="1:19" x14ac:dyDescent="0.2">
      <c r="A16" s="624">
        <f t="shared" si="0"/>
        <v>6</v>
      </c>
      <c r="B16" s="134" t="s">
        <v>38</v>
      </c>
      <c r="C16" s="97"/>
      <c r="D16" s="97"/>
      <c r="E16" s="97">
        <f t="shared" si="1"/>
        <v>0</v>
      </c>
      <c r="F16" s="97"/>
      <c r="G16" s="97"/>
      <c r="H16" s="97"/>
      <c r="I16" s="97"/>
      <c r="J16" s="375"/>
      <c r="K16" s="97" t="s">
        <v>28</v>
      </c>
      <c r="L16" s="136"/>
      <c r="M16" s="232"/>
      <c r="N16" s="232"/>
      <c r="O16" s="232"/>
      <c r="P16" s="232"/>
      <c r="Q16" s="232"/>
      <c r="R16" s="232"/>
      <c r="S16" s="232"/>
    </row>
    <row r="17" spans="1:19" x14ac:dyDescent="0.2">
      <c r="A17" s="624">
        <f t="shared" si="0"/>
        <v>7</v>
      </c>
      <c r="B17" s="134"/>
      <c r="C17" s="97"/>
      <c r="D17" s="97"/>
      <c r="E17" s="97"/>
      <c r="F17" s="97"/>
      <c r="G17" s="97"/>
      <c r="H17" s="97"/>
      <c r="I17" s="97"/>
      <c r="J17" s="375"/>
      <c r="K17" s="97" t="s">
        <v>30</v>
      </c>
      <c r="L17" s="136"/>
      <c r="M17" s="232"/>
      <c r="N17" s="232"/>
      <c r="O17" s="232"/>
      <c r="P17" s="232"/>
      <c r="Q17" s="232"/>
      <c r="R17" s="232"/>
      <c r="S17" s="232"/>
    </row>
    <row r="18" spans="1:19" x14ac:dyDescent="0.2">
      <c r="A18" s="624">
        <f t="shared" si="0"/>
        <v>8</v>
      </c>
      <c r="B18" s="134" t="s">
        <v>39</v>
      </c>
      <c r="C18" s="97"/>
      <c r="D18" s="97"/>
      <c r="E18" s="97">
        <f t="shared" si="1"/>
        <v>0</v>
      </c>
      <c r="F18" s="97"/>
      <c r="G18" s="97"/>
      <c r="H18" s="97"/>
      <c r="I18" s="97"/>
      <c r="J18" s="375"/>
      <c r="K18" s="97" t="s">
        <v>472</v>
      </c>
      <c r="L18" s="136"/>
      <c r="M18" s="232"/>
      <c r="N18" s="232"/>
      <c r="O18" s="232"/>
      <c r="P18" s="232"/>
      <c r="Q18" s="232"/>
      <c r="R18" s="232"/>
      <c r="S18" s="232"/>
    </row>
    <row r="19" spans="1:19" x14ac:dyDescent="0.2">
      <c r="A19" s="624">
        <f t="shared" si="0"/>
        <v>9</v>
      </c>
      <c r="B19" s="137" t="s">
        <v>40</v>
      </c>
      <c r="C19" s="135"/>
      <c r="D19" s="135"/>
      <c r="E19" s="135"/>
      <c r="F19" s="135"/>
      <c r="G19" s="135"/>
      <c r="H19" s="135"/>
      <c r="I19" s="135"/>
      <c r="J19" s="1263"/>
      <c r="K19" s="97" t="s">
        <v>471</v>
      </c>
      <c r="L19" s="136"/>
      <c r="M19" s="232"/>
      <c r="N19" s="232"/>
      <c r="O19" s="232"/>
      <c r="P19" s="232"/>
      <c r="Q19" s="232"/>
      <c r="R19" s="232"/>
      <c r="S19" s="232"/>
    </row>
    <row r="20" spans="1:19" x14ac:dyDescent="0.2">
      <c r="A20" s="624">
        <f t="shared" si="0"/>
        <v>10</v>
      </c>
      <c r="B20" s="134" t="s">
        <v>210</v>
      </c>
      <c r="C20" s="1253">
        <f>39290+10000</f>
        <v>49290</v>
      </c>
      <c r="D20" s="1253">
        <f>28191+4500+2420</f>
        <v>35111</v>
      </c>
      <c r="E20" s="135">
        <f>SUM(C20:D20)</f>
        <v>84401</v>
      </c>
      <c r="F20" s="135"/>
      <c r="G20" s="135"/>
      <c r="H20" s="135">
        <f>C20+F20</f>
        <v>49290</v>
      </c>
      <c r="I20" s="135">
        <f>D20+G20</f>
        <v>35111</v>
      </c>
      <c r="J20" s="1263">
        <f>H20+I20</f>
        <v>84401</v>
      </c>
      <c r="K20" s="97" t="s">
        <v>977</v>
      </c>
      <c r="L20" s="136"/>
      <c r="M20" s="232"/>
      <c r="N20" s="232">
        <f>L20+M20</f>
        <v>0</v>
      </c>
      <c r="O20" s="232"/>
      <c r="P20" s="232"/>
      <c r="Q20" s="232"/>
      <c r="R20" s="232"/>
      <c r="S20" s="232"/>
    </row>
    <row r="21" spans="1:19" x14ac:dyDescent="0.2">
      <c r="A21" s="624">
        <f t="shared" si="0"/>
        <v>11</v>
      </c>
      <c r="B21" s="147"/>
      <c r="C21" s="135"/>
      <c r="D21" s="135"/>
      <c r="E21" s="135"/>
      <c r="F21" s="135"/>
      <c r="G21" s="135"/>
      <c r="H21" s="135"/>
      <c r="I21" s="135"/>
      <c r="J21" s="1263"/>
      <c r="K21" s="97" t="s">
        <v>464</v>
      </c>
      <c r="L21" s="136"/>
      <c r="M21" s="232"/>
      <c r="N21" s="232"/>
      <c r="O21" s="232"/>
      <c r="P21" s="232"/>
      <c r="Q21" s="232"/>
      <c r="R21" s="232"/>
      <c r="S21" s="232"/>
    </row>
    <row r="22" spans="1:19" s="102" customFormat="1" x14ac:dyDescent="0.2">
      <c r="A22" s="624">
        <f t="shared" si="0"/>
        <v>12</v>
      </c>
      <c r="B22" s="147" t="s">
        <v>42</v>
      </c>
      <c r="C22" s="135"/>
      <c r="D22" s="135"/>
      <c r="E22" s="135"/>
      <c r="F22" s="135"/>
      <c r="G22" s="135"/>
      <c r="H22" s="135"/>
      <c r="I22" s="135"/>
      <c r="J22" s="1263"/>
      <c r="K22" s="97" t="s">
        <v>465</v>
      </c>
      <c r="L22" s="136"/>
      <c r="M22" s="232"/>
      <c r="N22" s="232"/>
      <c r="O22" s="289"/>
      <c r="P22" s="289"/>
      <c r="Q22" s="289"/>
      <c r="R22" s="289"/>
      <c r="S22" s="289"/>
    </row>
    <row r="23" spans="1:19" s="102" customFormat="1" x14ac:dyDescent="0.2">
      <c r="A23" s="624">
        <f t="shared" si="0"/>
        <v>13</v>
      </c>
      <c r="B23" s="147" t="s">
        <v>43</v>
      </c>
      <c r="C23" s="135"/>
      <c r="D23" s="135"/>
      <c r="E23" s="135"/>
      <c r="F23" s="135"/>
      <c r="G23" s="135"/>
      <c r="H23" s="135"/>
      <c r="I23" s="135"/>
      <c r="J23" s="1263"/>
      <c r="K23" s="136"/>
      <c r="L23" s="136"/>
      <c r="M23" s="232"/>
      <c r="N23" s="232"/>
      <c r="O23" s="289"/>
      <c r="P23" s="289"/>
      <c r="Q23" s="289"/>
      <c r="R23" s="289"/>
      <c r="S23" s="289"/>
    </row>
    <row r="24" spans="1:19" x14ac:dyDescent="0.2">
      <c r="A24" s="624">
        <f t="shared" si="0"/>
        <v>14</v>
      </c>
      <c r="B24" s="134" t="s">
        <v>44</v>
      </c>
      <c r="C24" s="105"/>
      <c r="D24" s="105"/>
      <c r="E24" s="105"/>
      <c r="F24" s="105"/>
      <c r="G24" s="105"/>
      <c r="H24" s="105"/>
      <c r="I24" s="105"/>
      <c r="J24" s="1264"/>
      <c r="K24" s="1256" t="s">
        <v>66</v>
      </c>
      <c r="L24" s="1256">
        <f>SUM(L12:L22)</f>
        <v>110955</v>
      </c>
      <c r="M24" s="288">
        <f>SUM(M12:M22)</f>
        <v>157437</v>
      </c>
      <c r="N24" s="288">
        <f>SUM(N12:N22)</f>
        <v>268392</v>
      </c>
      <c r="O24" s="288">
        <v>0</v>
      </c>
      <c r="P24" s="288">
        <f>SUM(P12:P23)</f>
        <v>-3470</v>
      </c>
      <c r="Q24" s="288">
        <f>SUM(Q12:Q23)</f>
        <v>110955</v>
      </c>
      <c r="R24" s="288">
        <f>SUM(R12:R23)</f>
        <v>153967</v>
      </c>
      <c r="S24" s="288">
        <f>SUM(S12:S23)</f>
        <v>264922</v>
      </c>
    </row>
    <row r="25" spans="1:19" x14ac:dyDescent="0.2">
      <c r="A25" s="624">
        <f t="shared" si="0"/>
        <v>15</v>
      </c>
      <c r="B25" s="134" t="s">
        <v>45</v>
      </c>
      <c r="C25" s="135"/>
      <c r="D25" s="135"/>
      <c r="E25" s="135"/>
      <c r="F25" s="135"/>
      <c r="G25" s="135"/>
      <c r="H25" s="135"/>
      <c r="I25" s="135"/>
      <c r="J25" s="1263"/>
      <c r="K25" s="136"/>
      <c r="L25" s="136"/>
      <c r="M25" s="232"/>
      <c r="N25" s="232"/>
      <c r="O25" s="232"/>
      <c r="P25" s="232"/>
      <c r="Q25" s="232"/>
      <c r="R25" s="232"/>
      <c r="S25" s="232"/>
    </row>
    <row r="26" spans="1:19" x14ac:dyDescent="0.2">
      <c r="A26" s="624">
        <f t="shared" si="0"/>
        <v>16</v>
      </c>
      <c r="B26" s="134" t="s">
        <v>46</v>
      </c>
      <c r="C26" s="103"/>
      <c r="D26" s="103"/>
      <c r="E26" s="103"/>
      <c r="F26" s="103"/>
      <c r="G26" s="103"/>
      <c r="H26" s="103"/>
      <c r="I26" s="103"/>
      <c r="J26" s="421"/>
      <c r="K26" s="103" t="s">
        <v>34</v>
      </c>
      <c r="L26" s="140"/>
      <c r="M26" s="290"/>
      <c r="N26" s="232"/>
      <c r="O26" s="232"/>
      <c r="P26" s="232"/>
      <c r="Q26" s="232"/>
      <c r="R26" s="232"/>
      <c r="S26" s="232"/>
    </row>
    <row r="27" spans="1:19" x14ac:dyDescent="0.2">
      <c r="A27" s="624">
        <f t="shared" si="0"/>
        <v>17</v>
      </c>
      <c r="B27" s="134" t="s">
        <v>47</v>
      </c>
      <c r="C27" s="97"/>
      <c r="D27" s="97"/>
      <c r="E27" s="97"/>
      <c r="F27" s="97"/>
      <c r="G27" s="97"/>
      <c r="H27" s="97"/>
      <c r="I27" s="97"/>
      <c r="J27" s="375"/>
      <c r="K27" s="97" t="s">
        <v>291</v>
      </c>
      <c r="L27" s="136">
        <f>'felhalm. kiad.  '!M109</f>
        <v>0</v>
      </c>
      <c r="M27" s="136">
        <f>'felhalm. kiad.  '!P109</f>
        <v>3900</v>
      </c>
      <c r="N27" s="136">
        <f>'felhalm. kiad.  '!J109</f>
        <v>3900</v>
      </c>
      <c r="O27" s="232"/>
      <c r="P27" s="232">
        <v>3470</v>
      </c>
      <c r="Q27" s="232">
        <f>L27+O27</f>
        <v>0</v>
      </c>
      <c r="R27" s="232">
        <f>M27+P27</f>
        <v>7370</v>
      </c>
      <c r="S27" s="232">
        <f>Q27+R27</f>
        <v>7370</v>
      </c>
    </row>
    <row r="28" spans="1:19" x14ac:dyDescent="0.2">
      <c r="A28" s="624">
        <f t="shared" si="0"/>
        <v>18</v>
      </c>
      <c r="B28" s="134"/>
      <c r="C28" s="97"/>
      <c r="D28" s="97"/>
      <c r="E28" s="97"/>
      <c r="F28" s="97"/>
      <c r="G28" s="97"/>
      <c r="H28" s="97"/>
      <c r="I28" s="97"/>
      <c r="J28" s="375"/>
      <c r="K28" s="97" t="s">
        <v>31</v>
      </c>
      <c r="L28" s="136"/>
      <c r="M28" s="232"/>
      <c r="N28" s="232"/>
      <c r="O28" s="232"/>
      <c r="P28" s="232"/>
      <c r="Q28" s="232"/>
      <c r="R28" s="232"/>
      <c r="S28" s="232"/>
    </row>
    <row r="29" spans="1:19" x14ac:dyDescent="0.2">
      <c r="A29" s="624">
        <f t="shared" si="0"/>
        <v>19</v>
      </c>
      <c r="B29" s="147" t="s">
        <v>50</v>
      </c>
      <c r="C29" s="97"/>
      <c r="D29" s="97"/>
      <c r="E29" s="97"/>
      <c r="F29" s="97"/>
      <c r="G29" s="97"/>
      <c r="H29" s="97"/>
      <c r="I29" s="97"/>
      <c r="J29" s="375"/>
      <c r="K29" s="97" t="s">
        <v>32</v>
      </c>
      <c r="L29" s="136"/>
      <c r="M29" s="232"/>
      <c r="N29" s="232"/>
      <c r="O29" s="232"/>
      <c r="P29" s="232"/>
      <c r="Q29" s="232"/>
      <c r="R29" s="232"/>
      <c r="S29" s="232"/>
    </row>
    <row r="30" spans="1:19" s="102" customFormat="1" x14ac:dyDescent="0.2">
      <c r="A30" s="624">
        <f t="shared" si="0"/>
        <v>20</v>
      </c>
      <c r="B30" s="147" t="s">
        <v>48</v>
      </c>
      <c r="C30" s="97"/>
      <c r="D30" s="97"/>
      <c r="E30" s="97"/>
      <c r="F30" s="97"/>
      <c r="G30" s="97"/>
      <c r="H30" s="97"/>
      <c r="I30" s="97"/>
      <c r="J30" s="375"/>
      <c r="K30" s="97" t="s">
        <v>473</v>
      </c>
      <c r="L30" s="136"/>
      <c r="M30" s="232"/>
      <c r="N30" s="232"/>
      <c r="O30" s="289"/>
      <c r="P30" s="289"/>
      <c r="Q30" s="289"/>
      <c r="R30" s="289"/>
      <c r="S30" s="289"/>
    </row>
    <row r="31" spans="1:19" x14ac:dyDescent="0.2">
      <c r="A31" s="624">
        <f t="shared" si="0"/>
        <v>21</v>
      </c>
      <c r="B31" s="147"/>
      <c r="C31" s="97"/>
      <c r="D31" s="97"/>
      <c r="E31" s="97"/>
      <c r="F31" s="97"/>
      <c r="G31" s="97"/>
      <c r="H31" s="97"/>
      <c r="I31" s="97"/>
      <c r="J31" s="375"/>
      <c r="K31" s="97" t="s">
        <v>470</v>
      </c>
      <c r="L31" s="136"/>
      <c r="M31" s="232"/>
      <c r="N31" s="232"/>
      <c r="O31" s="232"/>
      <c r="P31" s="232"/>
      <c r="Q31" s="232"/>
      <c r="R31" s="232"/>
      <c r="S31" s="232"/>
    </row>
    <row r="32" spans="1:19" s="9" customFormat="1" x14ac:dyDescent="0.2">
      <c r="A32" s="624">
        <f t="shared" si="0"/>
        <v>22</v>
      </c>
      <c r="B32" s="1257" t="s">
        <v>52</v>
      </c>
      <c r="C32" s="1258">
        <f>C14+C20</f>
        <v>49290</v>
      </c>
      <c r="D32" s="1258">
        <f>D14+D20</f>
        <v>35111</v>
      </c>
      <c r="E32" s="1258">
        <f>E14+E20</f>
        <v>84401</v>
      </c>
      <c r="F32" s="1258"/>
      <c r="G32" s="1258"/>
      <c r="H32" s="1258">
        <f>SUM(H20:H31)</f>
        <v>49290</v>
      </c>
      <c r="I32" s="1258">
        <f>SUM(I20:I31)</f>
        <v>35111</v>
      </c>
      <c r="J32" s="1299">
        <f>SUM(J20:J31)</f>
        <v>84401</v>
      </c>
      <c r="K32" s="97" t="s">
        <v>466</v>
      </c>
      <c r="L32" s="136"/>
      <c r="M32" s="232"/>
      <c r="N32" s="232"/>
      <c r="O32" s="290"/>
      <c r="P32" s="290"/>
      <c r="Q32" s="290"/>
      <c r="R32" s="290"/>
      <c r="S32" s="290"/>
    </row>
    <row r="33" spans="1:19" x14ac:dyDescent="0.2">
      <c r="A33" s="624">
        <f t="shared" si="0"/>
        <v>23</v>
      </c>
      <c r="B33" s="142" t="s">
        <v>67</v>
      </c>
      <c r="C33" s="144"/>
      <c r="D33" s="144"/>
      <c r="E33" s="144"/>
      <c r="F33" s="144"/>
      <c r="G33" s="144"/>
      <c r="H33" s="144"/>
      <c r="I33" s="144"/>
      <c r="J33" s="1265"/>
      <c r="K33" s="105" t="s">
        <v>68</v>
      </c>
      <c r="L33" s="1256">
        <f>SUM(L27:L32)</f>
        <v>0</v>
      </c>
      <c r="M33" s="288">
        <f>SUM(M27:M32)</f>
        <v>3900</v>
      </c>
      <c r="N33" s="288">
        <f>SUM(N27:N31)</f>
        <v>3900</v>
      </c>
      <c r="O33" s="288">
        <v>0</v>
      </c>
      <c r="P33" s="288">
        <f>SUM(P27:P32)</f>
        <v>3470</v>
      </c>
      <c r="Q33" s="288">
        <f>SUM(Q27:Q32)</f>
        <v>0</v>
      </c>
      <c r="R33" s="288">
        <f>SUM(R27:R32)</f>
        <v>7370</v>
      </c>
      <c r="S33" s="288">
        <f>SUM(S27:S32)</f>
        <v>7370</v>
      </c>
    </row>
    <row r="34" spans="1:19" x14ac:dyDescent="0.2">
      <c r="A34" s="624">
        <f t="shared" si="0"/>
        <v>24</v>
      </c>
      <c r="B34" s="145" t="s">
        <v>51</v>
      </c>
      <c r="C34" s="140">
        <f>SUM(C32:C33)</f>
        <v>49290</v>
      </c>
      <c r="D34" s="140">
        <f>SUM(D32:D33)</f>
        <v>35111</v>
      </c>
      <c r="E34" s="140">
        <f>SUM(C34:D34)</f>
        <v>84401</v>
      </c>
      <c r="F34" s="140"/>
      <c r="G34" s="140"/>
      <c r="H34" s="140">
        <f>H32</f>
        <v>49290</v>
      </c>
      <c r="I34" s="140">
        <f t="shared" ref="I34:J34" si="5">I32</f>
        <v>35111</v>
      </c>
      <c r="J34" s="1266">
        <f t="shared" si="5"/>
        <v>84401</v>
      </c>
      <c r="K34" s="140" t="s">
        <v>69</v>
      </c>
      <c r="L34" s="140">
        <f>L24+L33</f>
        <v>110955</v>
      </c>
      <c r="M34" s="290">
        <f>M24+M33</f>
        <v>161337</v>
      </c>
      <c r="N34" s="290">
        <f>N24+N33</f>
        <v>272292</v>
      </c>
      <c r="O34" s="290">
        <f>O24+O33</f>
        <v>0</v>
      </c>
      <c r="P34" s="290">
        <f t="shared" ref="P34:S34" si="6">P24+P33</f>
        <v>0</v>
      </c>
      <c r="Q34" s="290">
        <f t="shared" si="6"/>
        <v>110955</v>
      </c>
      <c r="R34" s="290">
        <f t="shared" si="6"/>
        <v>161337</v>
      </c>
      <c r="S34" s="290">
        <f t="shared" si="6"/>
        <v>272292</v>
      </c>
    </row>
    <row r="35" spans="1:19" x14ac:dyDescent="0.2">
      <c r="A35" s="624">
        <f t="shared" si="0"/>
        <v>25</v>
      </c>
      <c r="B35" s="147"/>
      <c r="C35" s="136"/>
      <c r="D35" s="136"/>
      <c r="E35" s="136"/>
      <c r="F35" s="136"/>
      <c r="G35" s="136"/>
      <c r="H35" s="136"/>
      <c r="I35" s="136"/>
      <c r="J35" s="1267"/>
      <c r="K35" s="136"/>
      <c r="L35" s="136"/>
      <c r="M35" s="232"/>
      <c r="N35" s="232"/>
      <c r="O35" s="232"/>
      <c r="P35" s="232"/>
      <c r="Q35" s="232"/>
      <c r="R35" s="232"/>
      <c r="S35" s="232"/>
    </row>
    <row r="36" spans="1:19" x14ac:dyDescent="0.2">
      <c r="A36" s="624">
        <f t="shared" si="0"/>
        <v>26</v>
      </c>
      <c r="B36" s="147"/>
      <c r="C36" s="136"/>
      <c r="D36" s="136"/>
      <c r="E36" s="136"/>
      <c r="F36" s="136"/>
      <c r="G36" s="136"/>
      <c r="H36" s="136"/>
      <c r="I36" s="136"/>
      <c r="J36" s="1267"/>
      <c r="K36" s="1256"/>
      <c r="L36" s="1256"/>
      <c r="M36" s="288"/>
      <c r="N36" s="288"/>
      <c r="O36" s="232"/>
      <c r="P36" s="232"/>
      <c r="Q36" s="232"/>
      <c r="R36" s="232"/>
      <c r="S36" s="232"/>
    </row>
    <row r="37" spans="1:19" s="9" customFormat="1" x14ac:dyDescent="0.2">
      <c r="A37" s="624">
        <f t="shared" si="0"/>
        <v>27</v>
      </c>
      <c r="B37" s="147"/>
      <c r="C37" s="136"/>
      <c r="D37" s="136"/>
      <c r="E37" s="136"/>
      <c r="F37" s="136"/>
      <c r="G37" s="136"/>
      <c r="H37" s="136"/>
      <c r="I37" s="136"/>
      <c r="J37" s="1267"/>
      <c r="K37" s="136"/>
      <c r="L37" s="136"/>
      <c r="M37" s="232"/>
      <c r="N37" s="232"/>
      <c r="O37" s="290"/>
      <c r="P37" s="290"/>
      <c r="Q37" s="290"/>
      <c r="R37" s="290"/>
      <c r="S37" s="290"/>
    </row>
    <row r="38" spans="1:19" s="9" customFormat="1" x14ac:dyDescent="0.2">
      <c r="A38" s="624">
        <f t="shared" si="0"/>
        <v>28</v>
      </c>
      <c r="B38" s="103" t="s">
        <v>53</v>
      </c>
      <c r="C38" s="103"/>
      <c r="D38" s="103"/>
      <c r="E38" s="103"/>
      <c r="F38" s="103"/>
      <c r="G38" s="103"/>
      <c r="H38" s="103"/>
      <c r="I38" s="103"/>
      <c r="J38" s="421"/>
      <c r="K38" s="103" t="s">
        <v>33</v>
      </c>
      <c r="L38" s="140"/>
      <c r="M38" s="290"/>
      <c r="N38" s="290"/>
      <c r="O38" s="290"/>
      <c r="P38" s="290"/>
      <c r="Q38" s="290"/>
      <c r="R38" s="290"/>
      <c r="S38" s="290"/>
    </row>
    <row r="39" spans="1:19" s="9" customFormat="1" ht="12" customHeight="1" x14ac:dyDescent="0.2">
      <c r="A39" s="624">
        <f t="shared" si="0"/>
        <v>29</v>
      </c>
      <c r="B39" s="1260" t="s">
        <v>726</v>
      </c>
      <c r="C39" s="103"/>
      <c r="D39" s="103"/>
      <c r="E39" s="103"/>
      <c r="F39" s="103"/>
      <c r="G39" s="103"/>
      <c r="H39" s="103"/>
      <c r="I39" s="103"/>
      <c r="J39" s="421"/>
      <c r="K39" s="1260" t="s">
        <v>4</v>
      </c>
      <c r="L39" s="140"/>
      <c r="M39" s="1259"/>
      <c r="N39" s="1259"/>
      <c r="O39" s="290"/>
      <c r="P39" s="290"/>
      <c r="Q39" s="290"/>
      <c r="R39" s="290"/>
      <c r="S39" s="290"/>
    </row>
    <row r="40" spans="1:19" s="9" customFormat="1" x14ac:dyDescent="0.2">
      <c r="A40" s="624">
        <f t="shared" si="0"/>
        <v>30</v>
      </c>
      <c r="B40" s="147" t="s">
        <v>1020</v>
      </c>
      <c r="C40" s="103"/>
      <c r="D40" s="103"/>
      <c r="E40" s="103"/>
      <c r="F40" s="103"/>
      <c r="G40" s="103"/>
      <c r="H40" s="103"/>
      <c r="I40" s="103"/>
      <c r="J40" s="421"/>
      <c r="K40" s="134" t="s">
        <v>3</v>
      </c>
      <c r="L40" s="140"/>
      <c r="M40" s="290"/>
      <c r="N40" s="290"/>
      <c r="O40" s="290"/>
      <c r="P40" s="290"/>
      <c r="Q40" s="290"/>
      <c r="R40" s="290"/>
      <c r="S40" s="290"/>
    </row>
    <row r="41" spans="1:19" x14ac:dyDescent="0.2">
      <c r="A41" s="624">
        <f t="shared" si="0"/>
        <v>31</v>
      </c>
      <c r="B41" s="97" t="s">
        <v>728</v>
      </c>
      <c r="C41" s="151"/>
      <c r="D41" s="151"/>
      <c r="E41" s="151"/>
      <c r="F41" s="151"/>
      <c r="G41" s="151"/>
      <c r="H41" s="151"/>
      <c r="I41" s="151"/>
      <c r="J41" s="1268"/>
      <c r="K41" s="97" t="s">
        <v>5</v>
      </c>
      <c r="L41" s="140"/>
      <c r="M41" s="290"/>
      <c r="N41" s="290"/>
      <c r="O41" s="232"/>
      <c r="P41" s="232"/>
      <c r="Q41" s="232"/>
      <c r="R41" s="232"/>
      <c r="S41" s="232"/>
    </row>
    <row r="42" spans="1:19" x14ac:dyDescent="0.2">
      <c r="A42" s="624">
        <f t="shared" si="0"/>
        <v>32</v>
      </c>
      <c r="B42" s="97" t="s">
        <v>223</v>
      </c>
      <c r="C42" s="97"/>
      <c r="D42" s="97"/>
      <c r="E42" s="97"/>
      <c r="F42" s="97"/>
      <c r="G42" s="97"/>
      <c r="H42" s="97"/>
      <c r="I42" s="97"/>
      <c r="J42" s="375"/>
      <c r="K42" s="97" t="s">
        <v>6</v>
      </c>
      <c r="L42" s="140"/>
      <c r="M42" s="290"/>
      <c r="N42" s="290"/>
      <c r="O42" s="232"/>
      <c r="P42" s="232"/>
      <c r="Q42" s="232"/>
      <c r="R42" s="232"/>
      <c r="S42" s="232"/>
    </row>
    <row r="43" spans="1:19" x14ac:dyDescent="0.2">
      <c r="A43" s="624">
        <f t="shared" si="0"/>
        <v>33</v>
      </c>
      <c r="B43" s="1261" t="s">
        <v>224</v>
      </c>
      <c r="C43" s="97"/>
      <c r="D43" s="97"/>
      <c r="E43" s="97">
        <f>C43+D43</f>
        <v>0</v>
      </c>
      <c r="F43" s="97"/>
      <c r="G43" s="97"/>
      <c r="H43" s="97"/>
      <c r="I43" s="97"/>
      <c r="J43" s="375"/>
      <c r="K43" s="97" t="s">
        <v>7</v>
      </c>
      <c r="L43" s="140"/>
      <c r="M43" s="290"/>
      <c r="N43" s="290"/>
      <c r="O43" s="232"/>
      <c r="P43" s="232"/>
      <c r="Q43" s="232"/>
      <c r="R43" s="232"/>
      <c r="S43" s="232"/>
    </row>
    <row r="44" spans="1:19" x14ac:dyDescent="0.2">
      <c r="A44" s="624">
        <f t="shared" si="0"/>
        <v>34</v>
      </c>
      <c r="B44" s="1261" t="s">
        <v>1014</v>
      </c>
      <c r="C44" s="97"/>
      <c r="D44" s="97"/>
      <c r="E44" s="97">
        <f>C44+D44</f>
        <v>0</v>
      </c>
      <c r="F44" s="97"/>
      <c r="G44" s="97"/>
      <c r="H44" s="97"/>
      <c r="I44" s="97"/>
      <c r="J44" s="375"/>
      <c r="K44" s="97"/>
      <c r="L44" s="140"/>
      <c r="M44" s="290"/>
      <c r="N44" s="290"/>
      <c r="O44" s="232"/>
      <c r="P44" s="232"/>
      <c r="Q44" s="232"/>
      <c r="R44" s="232"/>
      <c r="S44" s="232"/>
    </row>
    <row r="45" spans="1:19" x14ac:dyDescent="0.2">
      <c r="A45" s="624">
        <f t="shared" si="0"/>
        <v>35</v>
      </c>
      <c r="B45" s="97" t="s">
        <v>729</v>
      </c>
      <c r="C45" s="97"/>
      <c r="D45" s="97"/>
      <c r="E45" s="97"/>
      <c r="F45" s="97"/>
      <c r="G45" s="97"/>
      <c r="H45" s="97"/>
      <c r="I45" s="97"/>
      <c r="J45" s="375"/>
      <c r="K45" s="97" t="s">
        <v>8</v>
      </c>
      <c r="L45" s="140"/>
      <c r="M45" s="290"/>
      <c r="N45" s="232"/>
      <c r="O45" s="232"/>
      <c r="P45" s="232"/>
      <c r="Q45" s="232"/>
      <c r="R45" s="232"/>
      <c r="S45" s="232"/>
    </row>
    <row r="46" spans="1:19" x14ac:dyDescent="0.2">
      <c r="A46" s="624">
        <f t="shared" si="0"/>
        <v>36</v>
      </c>
      <c r="B46" s="97" t="s">
        <v>730</v>
      </c>
      <c r="C46" s="103"/>
      <c r="D46" s="103"/>
      <c r="E46" s="103"/>
      <c r="F46" s="103"/>
      <c r="G46" s="103"/>
      <c r="H46" s="103"/>
      <c r="I46" s="103"/>
      <c r="J46" s="421"/>
      <c r="K46" s="97" t="s">
        <v>9</v>
      </c>
      <c r="L46" s="140"/>
      <c r="M46" s="290"/>
      <c r="N46" s="232"/>
      <c r="O46" s="232"/>
      <c r="P46" s="232"/>
      <c r="Q46" s="232"/>
      <c r="R46" s="232"/>
      <c r="S46" s="232"/>
    </row>
    <row r="47" spans="1:19" x14ac:dyDescent="0.2">
      <c r="A47" s="624">
        <f t="shared" si="0"/>
        <v>37</v>
      </c>
      <c r="B47" s="97" t="s">
        <v>227</v>
      </c>
      <c r="C47" s="97"/>
      <c r="D47" s="97"/>
      <c r="E47" s="97"/>
      <c r="F47" s="97"/>
      <c r="G47" s="97"/>
      <c r="H47" s="97"/>
      <c r="I47" s="97"/>
      <c r="J47" s="375"/>
      <c r="K47" s="97" t="s">
        <v>10</v>
      </c>
      <c r="L47" s="136"/>
      <c r="M47" s="232"/>
      <c r="N47" s="232"/>
      <c r="O47" s="232"/>
      <c r="P47" s="232"/>
      <c r="Q47" s="232"/>
      <c r="R47" s="232"/>
      <c r="S47" s="232"/>
    </row>
    <row r="48" spans="1:19" x14ac:dyDescent="0.2">
      <c r="A48" s="624">
        <f t="shared" si="0"/>
        <v>38</v>
      </c>
      <c r="B48" s="1261" t="s">
        <v>228</v>
      </c>
      <c r="C48" s="97">
        <f>L24-(C34+C43+C44)</f>
        <v>61665</v>
      </c>
      <c r="D48" s="97">
        <f>M24-(D34+D43+D44)</f>
        <v>122326</v>
      </c>
      <c r="E48" s="97">
        <f>N24-(E34+E43+E44)</f>
        <v>183991</v>
      </c>
      <c r="F48" s="97">
        <f>O24-(F34+F43+F44)</f>
        <v>0</v>
      </c>
      <c r="G48" s="97">
        <f t="shared" ref="G48:J48" si="7">P24-(G34+G43+G44)</f>
        <v>-3470</v>
      </c>
      <c r="H48" s="97">
        <f t="shared" si="7"/>
        <v>61665</v>
      </c>
      <c r="I48" s="97">
        <f t="shared" si="7"/>
        <v>118856</v>
      </c>
      <c r="J48" s="375">
        <f t="shared" si="7"/>
        <v>180521</v>
      </c>
      <c r="K48" s="97" t="s">
        <v>11</v>
      </c>
      <c r="L48" s="136"/>
      <c r="M48" s="232"/>
      <c r="N48" s="232"/>
      <c r="O48" s="232"/>
      <c r="P48" s="232"/>
      <c r="Q48" s="232"/>
      <c r="R48" s="232"/>
      <c r="S48" s="232"/>
    </row>
    <row r="49" spans="1:19" x14ac:dyDescent="0.2">
      <c r="A49" s="624">
        <f t="shared" si="0"/>
        <v>39</v>
      </c>
      <c r="B49" s="1261" t="s">
        <v>229</v>
      </c>
      <c r="C49" s="97">
        <f>L33-C33</f>
        <v>0</v>
      </c>
      <c r="D49" s="97">
        <f>M33-D33</f>
        <v>3900</v>
      </c>
      <c r="E49" s="97">
        <f>N33-E33</f>
        <v>3900</v>
      </c>
      <c r="F49" s="97">
        <f>O33-F33</f>
        <v>0</v>
      </c>
      <c r="G49" s="97">
        <f t="shared" ref="G49:J49" si="8">P33-G33</f>
        <v>3470</v>
      </c>
      <c r="H49" s="97">
        <f t="shared" si="8"/>
        <v>0</v>
      </c>
      <c r="I49" s="97">
        <f t="shared" si="8"/>
        <v>7370</v>
      </c>
      <c r="J49" s="375">
        <f t="shared" si="8"/>
        <v>7370</v>
      </c>
      <c r="K49" s="97" t="s">
        <v>12</v>
      </c>
      <c r="L49" s="136"/>
      <c r="M49" s="232"/>
      <c r="N49" s="232"/>
      <c r="O49" s="232"/>
      <c r="P49" s="232"/>
      <c r="Q49" s="232"/>
      <c r="R49" s="232"/>
      <c r="S49" s="232"/>
    </row>
    <row r="50" spans="1:19" x14ac:dyDescent="0.2">
      <c r="A50" s="624">
        <f t="shared" si="0"/>
        <v>40</v>
      </c>
      <c r="B50" s="97" t="s">
        <v>1</v>
      </c>
      <c r="C50" s="97"/>
      <c r="D50" s="97"/>
      <c r="E50" s="97"/>
      <c r="F50" s="97"/>
      <c r="G50" s="97"/>
      <c r="H50" s="97"/>
      <c r="I50" s="97"/>
      <c r="J50" s="375"/>
      <c r="K50" s="97" t="s">
        <v>13</v>
      </c>
      <c r="L50" s="136"/>
      <c r="M50" s="232"/>
      <c r="N50" s="232"/>
      <c r="O50" s="232"/>
      <c r="P50" s="232"/>
      <c r="Q50" s="232"/>
      <c r="R50" s="232"/>
      <c r="S50" s="232"/>
    </row>
    <row r="51" spans="1:19" x14ac:dyDescent="0.2">
      <c r="A51" s="624">
        <f t="shared" si="0"/>
        <v>41</v>
      </c>
      <c r="B51" s="97"/>
      <c r="C51" s="97"/>
      <c r="D51" s="97"/>
      <c r="E51" s="97"/>
      <c r="F51" s="97"/>
      <c r="G51" s="97"/>
      <c r="H51" s="97"/>
      <c r="I51" s="97"/>
      <c r="J51" s="375"/>
      <c r="K51" s="97" t="s">
        <v>14</v>
      </c>
      <c r="L51" s="136"/>
      <c r="M51" s="232"/>
      <c r="N51" s="232"/>
      <c r="O51" s="232"/>
      <c r="P51" s="232"/>
      <c r="Q51" s="232"/>
      <c r="R51" s="232"/>
      <c r="S51" s="232"/>
    </row>
    <row r="52" spans="1:19" x14ac:dyDescent="0.2">
      <c r="A52" s="624">
        <f t="shared" si="0"/>
        <v>42</v>
      </c>
      <c r="B52" s="97"/>
      <c r="C52" s="97"/>
      <c r="D52" s="97"/>
      <c r="E52" s="97"/>
      <c r="F52" s="97"/>
      <c r="G52" s="97"/>
      <c r="H52" s="97"/>
      <c r="I52" s="97"/>
      <c r="J52" s="375"/>
      <c r="K52" s="97" t="s">
        <v>15</v>
      </c>
      <c r="L52" s="136"/>
      <c r="M52" s="232"/>
      <c r="N52" s="232"/>
      <c r="O52" s="232"/>
      <c r="P52" s="232"/>
      <c r="Q52" s="232"/>
      <c r="R52" s="232"/>
      <c r="S52" s="232"/>
    </row>
    <row r="53" spans="1:19" ht="12" thickBot="1" x14ac:dyDescent="0.25">
      <c r="A53" s="624">
        <f t="shared" si="0"/>
        <v>43</v>
      </c>
      <c r="B53" s="145" t="s">
        <v>474</v>
      </c>
      <c r="C53" s="103">
        <f>SUM(C39:C51)</f>
        <v>61665</v>
      </c>
      <c r="D53" s="103">
        <f>SUM(D39:D51)</f>
        <v>126226</v>
      </c>
      <c r="E53" s="103">
        <f>SUM(E39:E51)</f>
        <v>187891</v>
      </c>
      <c r="F53" s="103">
        <f>SUM(F48:F52)</f>
        <v>0</v>
      </c>
      <c r="G53" s="103">
        <f>SUM(G48:G52)</f>
        <v>0</v>
      </c>
      <c r="H53" s="103">
        <f>SUM(H48:H52)</f>
        <v>61665</v>
      </c>
      <c r="I53" s="103">
        <f t="shared" ref="I53:J53" si="9">SUM(I48:I52)</f>
        <v>126226</v>
      </c>
      <c r="J53" s="1296">
        <f t="shared" si="9"/>
        <v>187891</v>
      </c>
      <c r="K53" s="103" t="s">
        <v>467</v>
      </c>
      <c r="L53" s="140">
        <f>SUM(L39:L52)</f>
        <v>0</v>
      </c>
      <c r="M53" s="290">
        <f>SUM(M39:M52)</f>
        <v>0</v>
      </c>
      <c r="N53" s="290">
        <f>SUM(N39:N52)</f>
        <v>0</v>
      </c>
      <c r="O53" s="290">
        <v>0</v>
      </c>
      <c r="P53" s="290">
        <v>0</v>
      </c>
      <c r="Q53" s="290">
        <v>0</v>
      </c>
      <c r="R53" s="290">
        <v>0</v>
      </c>
      <c r="S53" s="290">
        <v>0</v>
      </c>
    </row>
    <row r="54" spans="1:19" ht="12" thickBot="1" x14ac:dyDescent="0.25">
      <c r="A54" s="1061">
        <f t="shared" si="0"/>
        <v>44</v>
      </c>
      <c r="B54" s="1062" t="s">
        <v>469</v>
      </c>
      <c r="C54" s="164">
        <f>C34+C53</f>
        <v>110955</v>
      </c>
      <c r="D54" s="164">
        <f>D34+D53</f>
        <v>161337</v>
      </c>
      <c r="E54" s="164">
        <f>E34+E53</f>
        <v>272292</v>
      </c>
      <c r="F54" s="164">
        <f>F53+F34</f>
        <v>0</v>
      </c>
      <c r="G54" s="164">
        <f t="shared" ref="G54:J54" si="10">G53+G34</f>
        <v>0</v>
      </c>
      <c r="H54" s="164">
        <f t="shared" si="10"/>
        <v>110955</v>
      </c>
      <c r="I54" s="164">
        <f t="shared" si="10"/>
        <v>161337</v>
      </c>
      <c r="J54" s="164">
        <f t="shared" si="10"/>
        <v>272292</v>
      </c>
      <c r="K54" s="1271" t="s">
        <v>468</v>
      </c>
      <c r="L54" s="164">
        <f>L34+L53</f>
        <v>110955</v>
      </c>
      <c r="M54" s="669">
        <f>M34+M53</f>
        <v>161337</v>
      </c>
      <c r="N54" s="669">
        <f>N34+N53</f>
        <v>272292</v>
      </c>
      <c r="O54" s="669">
        <f>O34+O53</f>
        <v>0</v>
      </c>
      <c r="P54" s="669">
        <f t="shared" ref="P54:S54" si="11">P34+P53</f>
        <v>0</v>
      </c>
      <c r="Q54" s="669">
        <f t="shared" si="11"/>
        <v>110955</v>
      </c>
      <c r="R54" s="669">
        <f t="shared" si="11"/>
        <v>161337</v>
      </c>
      <c r="S54" s="669">
        <f t="shared" si="11"/>
        <v>272292</v>
      </c>
    </row>
    <row r="55" spans="1:19" x14ac:dyDescent="0.2">
      <c r="B55" s="150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55"/>
      <c r="N55" s="155"/>
    </row>
  </sheetData>
  <mergeCells count="16">
    <mergeCell ref="B7:S7"/>
    <mergeCell ref="C1:S1"/>
    <mergeCell ref="A4:S4"/>
    <mergeCell ref="A5:S5"/>
    <mergeCell ref="A6:S6"/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56"/>
  <sheetViews>
    <sheetView zoomScale="120" workbookViewId="0">
      <selection activeCell="L33" sqref="L33:S33"/>
    </sheetView>
  </sheetViews>
  <sheetFormatPr defaultColWidth="9.140625" defaultRowHeight="11.25" x14ac:dyDescent="0.2"/>
  <cols>
    <col min="1" max="1" width="4.85546875" style="127" customWidth="1"/>
    <col min="2" max="2" width="36.7109375" style="127" customWidth="1"/>
    <col min="3" max="3" width="7" style="128" customWidth="1"/>
    <col min="4" max="10" width="9.5703125" style="128" customWidth="1"/>
    <col min="11" max="11" width="32.85546875" style="128" customWidth="1"/>
    <col min="12" max="12" width="7.5703125" style="128" customWidth="1"/>
    <col min="13" max="13" width="10.140625" style="230" customWidth="1"/>
    <col min="14" max="14" width="9.42578125" style="230" customWidth="1"/>
    <col min="15" max="15" width="9.140625" style="127"/>
    <col min="16" max="16384" width="9.140625" style="8"/>
  </cols>
  <sheetData>
    <row r="1" spans="1:19" ht="12.75" customHeight="1" x14ac:dyDescent="0.2">
      <c r="B1" s="1524" t="s">
        <v>1265</v>
      </c>
      <c r="C1" s="1524"/>
      <c r="D1" s="1524"/>
      <c r="E1" s="1524"/>
      <c r="F1" s="1524"/>
      <c r="G1" s="1524"/>
      <c r="H1" s="1524"/>
      <c r="I1" s="1524"/>
      <c r="J1" s="1524"/>
      <c r="K1" s="1524"/>
      <c r="L1" s="1524"/>
      <c r="M1" s="1524"/>
      <c r="N1" s="1524"/>
      <c r="O1" s="1524"/>
      <c r="P1" s="1524"/>
      <c r="Q1" s="1524"/>
      <c r="R1" s="1524"/>
      <c r="S1" s="1524"/>
    </row>
    <row r="2" spans="1:19" x14ac:dyDescent="0.2">
      <c r="N2" s="286"/>
    </row>
    <row r="3" spans="1:19" x14ac:dyDescent="0.2">
      <c r="N3" s="286"/>
    </row>
    <row r="4" spans="1:19" s="100" customFormat="1" ht="12.75" customHeight="1" x14ac:dyDescent="0.2">
      <c r="A4" s="1308" t="s">
        <v>78</v>
      </c>
      <c r="B4" s="1308"/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8"/>
      <c r="P4" s="1308"/>
      <c r="Q4" s="1308"/>
      <c r="R4" s="1308"/>
      <c r="S4" s="1308"/>
    </row>
    <row r="5" spans="1:19" s="100" customFormat="1" ht="12.75" customHeight="1" x14ac:dyDescent="0.2">
      <c r="A5" s="1406" t="s">
        <v>758</v>
      </c>
      <c r="B5" s="1406"/>
      <c r="C5" s="1406"/>
      <c r="D5" s="1406"/>
      <c r="E5" s="1406"/>
      <c r="F5" s="1406"/>
      <c r="G5" s="1406"/>
      <c r="H5" s="1406"/>
      <c r="I5" s="1406"/>
      <c r="J5" s="1406"/>
      <c r="K5" s="1406"/>
      <c r="L5" s="1406"/>
      <c r="M5" s="1406"/>
      <c r="N5" s="1406"/>
      <c r="O5" s="1406"/>
      <c r="P5" s="1406"/>
      <c r="Q5" s="1406"/>
      <c r="R5" s="1406"/>
      <c r="S5" s="1406"/>
    </row>
    <row r="6" spans="1:19" s="100" customFormat="1" ht="12.75" customHeight="1" x14ac:dyDescent="0.2">
      <c r="A6" s="1308" t="s">
        <v>1131</v>
      </c>
      <c r="B6" s="1308"/>
      <c r="C6" s="1308"/>
      <c r="D6" s="1308"/>
      <c r="E6" s="1308"/>
      <c r="F6" s="1308"/>
      <c r="G6" s="1308"/>
      <c r="H6" s="1308"/>
      <c r="I6" s="1308"/>
      <c r="J6" s="1308"/>
      <c r="K6" s="1308"/>
      <c r="L6" s="1308"/>
      <c r="M6" s="1308"/>
      <c r="N6" s="1308"/>
      <c r="O6" s="1308"/>
      <c r="P6" s="1308"/>
      <c r="Q6" s="1308"/>
      <c r="R6" s="1308"/>
      <c r="S6" s="1308"/>
    </row>
    <row r="7" spans="1:19" s="100" customFormat="1" ht="12.75" customHeight="1" x14ac:dyDescent="0.2">
      <c r="A7" s="1302" t="s">
        <v>325</v>
      </c>
      <c r="B7" s="1302"/>
      <c r="C7" s="1302"/>
      <c r="D7" s="1302"/>
      <c r="E7" s="1302"/>
      <c r="F7" s="1302"/>
      <c r="G7" s="1302"/>
      <c r="H7" s="1302"/>
      <c r="I7" s="1302"/>
      <c r="J7" s="1302"/>
      <c r="K7" s="1302"/>
      <c r="L7" s="1302"/>
      <c r="M7" s="1302"/>
      <c r="N7" s="1302"/>
      <c r="O7" s="1302"/>
      <c r="P7" s="1302"/>
      <c r="Q7" s="1302"/>
      <c r="R7" s="1302"/>
      <c r="S7" s="1302"/>
    </row>
    <row r="8" spans="1:19" s="100" customFormat="1" ht="12.75" customHeight="1" x14ac:dyDescent="0.2">
      <c r="A8" s="1305" t="s">
        <v>56</v>
      </c>
      <c r="B8" s="1306" t="s">
        <v>57</v>
      </c>
      <c r="C8" s="1306" t="s">
        <v>58</v>
      </c>
      <c r="D8" s="1306"/>
      <c r="E8" s="1306"/>
      <c r="F8" s="1306"/>
      <c r="G8" s="1306"/>
      <c r="H8" s="1306"/>
      <c r="I8" s="1306"/>
      <c r="J8" s="1306"/>
      <c r="K8" s="1307" t="s">
        <v>59</v>
      </c>
      <c r="L8" s="1304" t="s">
        <v>60</v>
      </c>
      <c r="M8" s="1304"/>
      <c r="N8" s="1304"/>
      <c r="O8" s="1304"/>
      <c r="P8" s="1304"/>
      <c r="Q8" s="1304"/>
      <c r="R8" s="1304"/>
      <c r="S8" s="1304"/>
    </row>
    <row r="9" spans="1:19" s="100" customFormat="1" ht="12.75" customHeight="1" x14ac:dyDescent="0.2">
      <c r="A9" s="1305"/>
      <c r="B9" s="1306"/>
      <c r="C9" s="1303" t="s">
        <v>1125</v>
      </c>
      <c r="D9" s="1303"/>
      <c r="E9" s="1303"/>
      <c r="F9" s="1303" t="s">
        <v>1267</v>
      </c>
      <c r="G9" s="1303"/>
      <c r="H9" s="1303" t="s">
        <v>1266</v>
      </c>
      <c r="I9" s="1303"/>
      <c r="J9" s="1303"/>
      <c r="K9" s="1307"/>
      <c r="L9" s="1303" t="s">
        <v>1125</v>
      </c>
      <c r="M9" s="1303"/>
      <c r="N9" s="1303"/>
      <c r="O9" s="1303" t="s">
        <v>1267</v>
      </c>
      <c r="P9" s="1303"/>
      <c r="Q9" s="1303" t="s">
        <v>1266</v>
      </c>
      <c r="R9" s="1303"/>
      <c r="S9" s="1303"/>
    </row>
    <row r="10" spans="1:19" s="101" customFormat="1" ht="36.6" customHeight="1" x14ac:dyDescent="0.2">
      <c r="A10" s="1305"/>
      <c r="B10" s="1164" t="s">
        <v>61</v>
      </c>
      <c r="C10" s="753" t="s">
        <v>62</v>
      </c>
      <c r="D10" s="753" t="s">
        <v>63</v>
      </c>
      <c r="E10" s="753" t="s">
        <v>64</v>
      </c>
      <c r="F10" s="753" t="s">
        <v>62</v>
      </c>
      <c r="G10" s="753" t="s">
        <v>63</v>
      </c>
      <c r="H10" s="753" t="s">
        <v>62</v>
      </c>
      <c r="I10" s="753" t="s">
        <v>63</v>
      </c>
      <c r="J10" s="753" t="s">
        <v>64</v>
      </c>
      <c r="K10" s="1163" t="s">
        <v>65</v>
      </c>
      <c r="L10" s="753" t="s">
        <v>62</v>
      </c>
      <c r="M10" s="755" t="s">
        <v>63</v>
      </c>
      <c r="N10" s="755" t="s">
        <v>64</v>
      </c>
      <c r="O10" s="753" t="s">
        <v>62</v>
      </c>
      <c r="P10" s="753" t="s">
        <v>63</v>
      </c>
      <c r="Q10" s="753" t="s">
        <v>62</v>
      </c>
      <c r="R10" s="753" t="s">
        <v>63</v>
      </c>
      <c r="S10" s="753" t="s">
        <v>64</v>
      </c>
    </row>
    <row r="11" spans="1:19" ht="11.45" customHeight="1" x14ac:dyDescent="0.2">
      <c r="A11" s="624">
        <v>1</v>
      </c>
      <c r="B11" s="1252" t="s">
        <v>24</v>
      </c>
      <c r="C11" s="140"/>
      <c r="D11" s="140"/>
      <c r="E11" s="140"/>
      <c r="F11" s="140"/>
      <c r="G11" s="140"/>
      <c r="H11" s="140"/>
      <c r="I11" s="140"/>
      <c r="J11" s="1262"/>
      <c r="K11" s="103" t="s">
        <v>25</v>
      </c>
      <c r="L11" s="140"/>
      <c r="M11" s="290"/>
      <c r="N11" s="232"/>
      <c r="O11" s="231"/>
      <c r="P11" s="231"/>
      <c r="Q11" s="231"/>
      <c r="R11" s="231"/>
      <c r="S11" s="231"/>
    </row>
    <row r="12" spans="1:19" x14ac:dyDescent="0.2">
      <c r="A12" s="624">
        <f t="shared" ref="A12:A54" si="0">A11+1</f>
        <v>2</v>
      </c>
      <c r="B12" s="134" t="s">
        <v>35</v>
      </c>
      <c r="C12" s="97"/>
      <c r="D12" s="97"/>
      <c r="E12" s="97"/>
      <c r="F12" s="97"/>
      <c r="G12" s="97"/>
      <c r="H12" s="97"/>
      <c r="I12" s="97"/>
      <c r="J12" s="375"/>
      <c r="K12" s="97" t="s">
        <v>231</v>
      </c>
      <c r="L12" s="225">
        <v>76982</v>
      </c>
      <c r="M12" s="225">
        <v>150000</v>
      </c>
      <c r="N12" s="1253">
        <f>SUM(L12:M12)</f>
        <v>226982</v>
      </c>
      <c r="O12" s="232"/>
      <c r="P12" s="232">
        <v>1263</v>
      </c>
      <c r="Q12" s="232">
        <f>L12+O12</f>
        <v>76982</v>
      </c>
      <c r="R12" s="232">
        <f>M12+P12</f>
        <v>151263</v>
      </c>
      <c r="S12" s="232">
        <f>SUM(Q12:R12)</f>
        <v>228245</v>
      </c>
    </row>
    <row r="13" spans="1:19" x14ac:dyDescent="0.2">
      <c r="A13" s="624">
        <f t="shared" si="0"/>
        <v>3</v>
      </c>
      <c r="B13" s="134" t="s">
        <v>36</v>
      </c>
      <c r="C13" s="97"/>
      <c r="D13" s="97"/>
      <c r="E13" s="97"/>
      <c r="F13" s="97"/>
      <c r="G13" s="97"/>
      <c r="H13" s="97"/>
      <c r="I13" s="97"/>
      <c r="J13" s="375"/>
      <c r="K13" s="97" t="s">
        <v>232</v>
      </c>
      <c r="L13" s="225">
        <v>13455</v>
      </c>
      <c r="M13" s="225">
        <v>33000</v>
      </c>
      <c r="N13" s="1253">
        <f>SUM(L13:M13)</f>
        <v>46455</v>
      </c>
      <c r="O13" s="232"/>
      <c r="P13" s="232">
        <v>123</v>
      </c>
      <c r="Q13" s="232">
        <f t="shared" ref="Q13:Q14" si="1">L13+O13</f>
        <v>13455</v>
      </c>
      <c r="R13" s="232">
        <f t="shared" ref="R13:R14" si="2">M13+P13</f>
        <v>33123</v>
      </c>
      <c r="S13" s="232">
        <f>SUM(Q13:R13)</f>
        <v>46578</v>
      </c>
    </row>
    <row r="14" spans="1:19" x14ac:dyDescent="0.2">
      <c r="A14" s="624">
        <f t="shared" si="0"/>
        <v>4</v>
      </c>
      <c r="B14" s="134" t="s">
        <v>207</v>
      </c>
      <c r="C14" s="225">
        <f>'tám, végl. pe.átv  '!C68</f>
        <v>19891</v>
      </c>
      <c r="D14" s="225">
        <f>'tám, végl. pe.átv  '!D68</f>
        <v>0</v>
      </c>
      <c r="E14" s="225">
        <f>SUM(C14:D14)</f>
        <v>19891</v>
      </c>
      <c r="F14" s="225"/>
      <c r="G14" s="225">
        <v>1386</v>
      </c>
      <c r="H14" s="225">
        <f>C14+F14</f>
        <v>19891</v>
      </c>
      <c r="I14" s="225">
        <f>D14+G14</f>
        <v>1386</v>
      </c>
      <c r="J14" s="390">
        <f>SUM(H14:I14)</f>
        <v>21277</v>
      </c>
      <c r="K14" s="97" t="s">
        <v>233</v>
      </c>
      <c r="L14" s="225">
        <v>36629</v>
      </c>
      <c r="M14" s="225">
        <f>84958+3000</f>
        <v>87958</v>
      </c>
      <c r="N14" s="1253">
        <f>SUM(L14:M14)</f>
        <v>124587</v>
      </c>
      <c r="O14" s="232"/>
      <c r="P14" s="232"/>
      <c r="Q14" s="232">
        <f t="shared" si="1"/>
        <v>36629</v>
      </c>
      <c r="R14" s="232">
        <f t="shared" si="2"/>
        <v>87958</v>
      </c>
      <c r="S14" s="232">
        <f>SUM(Q14:R14)</f>
        <v>124587</v>
      </c>
    </row>
    <row r="15" spans="1:19" ht="12" customHeight="1" x14ac:dyDescent="0.2">
      <c r="A15" s="624">
        <f t="shared" si="0"/>
        <v>5</v>
      </c>
      <c r="B15" s="104"/>
      <c r="C15" s="97"/>
      <c r="D15" s="97"/>
      <c r="E15" s="97"/>
      <c r="F15" s="97"/>
      <c r="G15" s="97"/>
      <c r="H15" s="225"/>
      <c r="I15" s="225"/>
      <c r="J15" s="390"/>
      <c r="K15" s="97"/>
      <c r="L15" s="1254"/>
      <c r="M15" s="1254"/>
      <c r="N15" s="225"/>
      <c r="O15" s="232"/>
      <c r="P15" s="232"/>
      <c r="Q15" s="232"/>
      <c r="R15" s="232"/>
      <c r="S15" s="232"/>
    </row>
    <row r="16" spans="1:19" x14ac:dyDescent="0.2">
      <c r="A16" s="624">
        <f t="shared" si="0"/>
        <v>6</v>
      </c>
      <c r="B16" s="134" t="s">
        <v>38</v>
      </c>
      <c r="C16" s="97"/>
      <c r="D16" s="97"/>
      <c r="E16" s="97"/>
      <c r="F16" s="97"/>
      <c r="G16" s="97"/>
      <c r="H16" s="225"/>
      <c r="I16" s="225"/>
      <c r="J16" s="390"/>
      <c r="K16" s="97" t="s">
        <v>28</v>
      </c>
      <c r="L16" s="136"/>
      <c r="M16" s="232"/>
      <c r="N16" s="232"/>
      <c r="O16" s="232"/>
      <c r="P16" s="232"/>
      <c r="Q16" s="232"/>
      <c r="R16" s="232"/>
      <c r="S16" s="232"/>
    </row>
    <row r="17" spans="1:19" x14ac:dyDescent="0.2">
      <c r="A17" s="624">
        <f t="shared" si="0"/>
        <v>7</v>
      </c>
      <c r="B17" s="134"/>
      <c r="C17" s="97"/>
      <c r="D17" s="97"/>
      <c r="E17" s="97"/>
      <c r="F17" s="97"/>
      <c r="G17" s="97"/>
      <c r="H17" s="225"/>
      <c r="I17" s="225"/>
      <c r="J17" s="390"/>
      <c r="K17" s="97" t="s">
        <v>30</v>
      </c>
      <c r="L17" s="136"/>
      <c r="M17" s="232"/>
      <c r="N17" s="232"/>
      <c r="O17" s="232"/>
      <c r="P17" s="232"/>
      <c r="Q17" s="232"/>
      <c r="R17" s="232"/>
      <c r="S17" s="232"/>
    </row>
    <row r="18" spans="1:19" x14ac:dyDescent="0.2">
      <c r="A18" s="624">
        <f t="shared" si="0"/>
        <v>8</v>
      </c>
      <c r="B18" s="134" t="s">
        <v>39</v>
      </c>
      <c r="C18" s="97"/>
      <c r="D18" s="97"/>
      <c r="E18" s="97"/>
      <c r="F18" s="97"/>
      <c r="G18" s="97"/>
      <c r="H18" s="225"/>
      <c r="I18" s="225"/>
      <c r="J18" s="390"/>
      <c r="K18" s="97" t="s">
        <v>472</v>
      </c>
      <c r="L18" s="136"/>
      <c r="M18" s="232"/>
      <c r="N18" s="232"/>
      <c r="O18" s="232"/>
      <c r="P18" s="232"/>
      <c r="Q18" s="232"/>
      <c r="R18" s="232"/>
      <c r="S18" s="232"/>
    </row>
    <row r="19" spans="1:19" x14ac:dyDescent="0.2">
      <c r="A19" s="624">
        <f t="shared" si="0"/>
        <v>9</v>
      </c>
      <c r="B19" s="137" t="s">
        <v>40</v>
      </c>
      <c r="C19" s="135"/>
      <c r="D19" s="135"/>
      <c r="E19" s="135"/>
      <c r="F19" s="135"/>
      <c r="G19" s="135"/>
      <c r="H19" s="225"/>
      <c r="I19" s="225"/>
      <c r="J19" s="390"/>
      <c r="K19" s="97" t="s">
        <v>471</v>
      </c>
      <c r="L19" s="136"/>
      <c r="M19" s="232"/>
      <c r="N19" s="232"/>
      <c r="O19" s="232"/>
      <c r="P19" s="232"/>
      <c r="Q19" s="232"/>
      <c r="R19" s="232"/>
      <c r="S19" s="232"/>
    </row>
    <row r="20" spans="1:19" x14ac:dyDescent="0.2">
      <c r="A20" s="624">
        <f t="shared" si="0"/>
        <v>10</v>
      </c>
      <c r="B20" s="134" t="s">
        <v>210</v>
      </c>
      <c r="C20" s="1253">
        <v>18446</v>
      </c>
      <c r="D20" s="1253">
        <v>65449</v>
      </c>
      <c r="E20" s="135">
        <f>SUM(C20:D20)</f>
        <v>83895</v>
      </c>
      <c r="F20" s="135"/>
      <c r="G20" s="135"/>
      <c r="H20" s="225">
        <f t="shared" ref="H20:H32" si="3">C20+F20</f>
        <v>18446</v>
      </c>
      <c r="I20" s="225">
        <f t="shared" ref="I20:I32" si="4">D20+G20</f>
        <v>65449</v>
      </c>
      <c r="J20" s="390">
        <f t="shared" ref="J20:J32" si="5">SUM(H20:I20)</f>
        <v>83895</v>
      </c>
      <c r="K20" s="97" t="s">
        <v>976</v>
      </c>
      <c r="L20" s="136"/>
      <c r="M20" s="232"/>
      <c r="N20" s="232"/>
      <c r="O20" s="232"/>
      <c r="P20" s="232"/>
      <c r="Q20" s="232"/>
      <c r="R20" s="232"/>
      <c r="S20" s="232"/>
    </row>
    <row r="21" spans="1:19" x14ac:dyDescent="0.2">
      <c r="A21" s="624">
        <f t="shared" si="0"/>
        <v>11</v>
      </c>
      <c r="B21" s="147"/>
      <c r="C21" s="135"/>
      <c r="D21" s="135"/>
      <c r="E21" s="135"/>
      <c r="F21" s="135"/>
      <c r="G21" s="135"/>
      <c r="H21" s="225"/>
      <c r="I21" s="225"/>
      <c r="J21" s="390"/>
      <c r="K21" s="97" t="s">
        <v>464</v>
      </c>
      <c r="L21" s="136"/>
      <c r="M21" s="232"/>
      <c r="N21" s="232"/>
      <c r="O21" s="232"/>
      <c r="P21" s="232"/>
      <c r="Q21" s="232"/>
      <c r="R21" s="232"/>
      <c r="S21" s="232"/>
    </row>
    <row r="22" spans="1:19" s="102" customFormat="1" x14ac:dyDescent="0.2">
      <c r="A22" s="624">
        <f t="shared" si="0"/>
        <v>12</v>
      </c>
      <c r="B22" s="147" t="s">
        <v>42</v>
      </c>
      <c r="C22" s="135"/>
      <c r="D22" s="135"/>
      <c r="E22" s="135"/>
      <c r="F22" s="135"/>
      <c r="G22" s="135"/>
      <c r="H22" s="225"/>
      <c r="I22" s="225"/>
      <c r="J22" s="390"/>
      <c r="K22" s="97" t="s">
        <v>465</v>
      </c>
      <c r="L22" s="136"/>
      <c r="M22" s="232"/>
      <c r="N22" s="232"/>
      <c r="O22" s="289"/>
      <c r="P22" s="289"/>
      <c r="Q22" s="289"/>
      <c r="R22" s="289"/>
      <c r="S22" s="289"/>
    </row>
    <row r="23" spans="1:19" s="102" customFormat="1" x14ac:dyDescent="0.2">
      <c r="A23" s="624">
        <f t="shared" si="0"/>
        <v>13</v>
      </c>
      <c r="B23" s="147" t="s">
        <v>43</v>
      </c>
      <c r="C23" s="135"/>
      <c r="D23" s="135"/>
      <c r="E23" s="135"/>
      <c r="F23" s="135"/>
      <c r="G23" s="135"/>
      <c r="H23" s="225"/>
      <c r="I23" s="225"/>
      <c r="J23" s="390"/>
      <c r="K23" s="136"/>
      <c r="L23" s="136"/>
      <c r="M23" s="232"/>
      <c r="N23" s="232"/>
      <c r="O23" s="289"/>
      <c r="P23" s="289"/>
      <c r="Q23" s="289"/>
      <c r="R23" s="289"/>
      <c r="S23" s="289"/>
    </row>
    <row r="24" spans="1:19" x14ac:dyDescent="0.2">
      <c r="A24" s="624">
        <f t="shared" si="0"/>
        <v>14</v>
      </c>
      <c r="B24" s="134" t="s">
        <v>44</v>
      </c>
      <c r="C24" s="105"/>
      <c r="D24" s="105"/>
      <c r="E24" s="105"/>
      <c r="F24" s="105"/>
      <c r="G24" s="105"/>
      <c r="H24" s="225"/>
      <c r="I24" s="225"/>
      <c r="J24" s="390"/>
      <c r="K24" s="1256" t="s">
        <v>66</v>
      </c>
      <c r="L24" s="1256">
        <f>SUM(L12:L22)</f>
        <v>127066</v>
      </c>
      <c r="M24" s="288">
        <f>SUM(M12:M22)</f>
        <v>270958</v>
      </c>
      <c r="N24" s="288">
        <f>SUM(N12:N22)</f>
        <v>398024</v>
      </c>
      <c r="O24" s="288">
        <v>0</v>
      </c>
      <c r="P24" s="288">
        <f>SUM(P12:P23)</f>
        <v>1386</v>
      </c>
      <c r="Q24" s="288">
        <f>SUM(Q12:Q23)</f>
        <v>127066</v>
      </c>
      <c r="R24" s="288">
        <f>SUM(R12:R23)</f>
        <v>272344</v>
      </c>
      <c r="S24" s="288">
        <f>SUM(S12:S23)</f>
        <v>399410</v>
      </c>
    </row>
    <row r="25" spans="1:19" x14ac:dyDescent="0.2">
      <c r="A25" s="624">
        <f t="shared" si="0"/>
        <v>15</v>
      </c>
      <c r="B25" s="134" t="s">
        <v>45</v>
      </c>
      <c r="C25" s="135">
        <v>0</v>
      </c>
      <c r="D25" s="135"/>
      <c r="E25" s="135">
        <f>D25+C25</f>
        <v>0</v>
      </c>
      <c r="F25" s="135"/>
      <c r="G25" s="135"/>
      <c r="H25" s="225"/>
      <c r="I25" s="225"/>
      <c r="J25" s="390"/>
      <c r="K25" s="136"/>
      <c r="L25" s="136"/>
      <c r="M25" s="232"/>
      <c r="N25" s="232"/>
      <c r="O25" s="232"/>
      <c r="P25" s="232"/>
      <c r="Q25" s="232"/>
      <c r="R25" s="232"/>
      <c r="S25" s="232"/>
    </row>
    <row r="26" spans="1:19" x14ac:dyDescent="0.2">
      <c r="A26" s="624">
        <f t="shared" si="0"/>
        <v>16</v>
      </c>
      <c r="B26" s="134" t="s">
        <v>46</v>
      </c>
      <c r="C26" s="103"/>
      <c r="D26" s="103"/>
      <c r="E26" s="103"/>
      <c r="F26" s="103"/>
      <c r="G26" s="103"/>
      <c r="H26" s="225"/>
      <c r="I26" s="225"/>
      <c r="J26" s="390"/>
      <c r="K26" s="103" t="s">
        <v>34</v>
      </c>
      <c r="L26" s="140"/>
      <c r="M26" s="290"/>
      <c r="N26" s="232"/>
      <c r="O26" s="232"/>
      <c r="P26" s="232"/>
      <c r="Q26" s="232"/>
      <c r="R26" s="232"/>
      <c r="S26" s="232"/>
    </row>
    <row r="27" spans="1:19" x14ac:dyDescent="0.2">
      <c r="A27" s="624">
        <f t="shared" si="0"/>
        <v>17</v>
      </c>
      <c r="B27" s="134" t="s">
        <v>47</v>
      </c>
      <c r="C27" s="97"/>
      <c r="D27" s="97"/>
      <c r="E27" s="97"/>
      <c r="F27" s="97"/>
      <c r="G27" s="97"/>
      <c r="H27" s="225"/>
      <c r="I27" s="225"/>
      <c r="J27" s="390"/>
      <c r="K27" s="97" t="s">
        <v>291</v>
      </c>
      <c r="L27" s="136">
        <f>'felhalm. kiad.  '!M115</f>
        <v>8880</v>
      </c>
      <c r="M27" s="232">
        <f>'felhalm. kiad.  '!P115</f>
        <v>0</v>
      </c>
      <c r="N27" s="232">
        <f>SUM(L27:M27)</f>
        <v>8880</v>
      </c>
      <c r="O27" s="232">
        <v>0</v>
      </c>
      <c r="P27" s="232">
        <v>0</v>
      </c>
      <c r="Q27" s="232">
        <f>L27+O27</f>
        <v>8880</v>
      </c>
      <c r="R27" s="232">
        <f>M27+P27</f>
        <v>0</v>
      </c>
      <c r="S27" s="232">
        <f>Q27+R27</f>
        <v>8880</v>
      </c>
    </row>
    <row r="28" spans="1:19" x14ac:dyDescent="0.2">
      <c r="A28" s="624">
        <f t="shared" si="0"/>
        <v>18</v>
      </c>
      <c r="B28" s="134"/>
      <c r="C28" s="97"/>
      <c r="D28" s="97"/>
      <c r="E28" s="97"/>
      <c r="F28" s="97"/>
      <c r="G28" s="97"/>
      <c r="H28" s="225"/>
      <c r="I28" s="225"/>
      <c r="J28" s="390"/>
      <c r="K28" s="97" t="s">
        <v>31</v>
      </c>
      <c r="L28" s="136"/>
      <c r="M28" s="232"/>
      <c r="N28" s="232"/>
      <c r="O28" s="232"/>
      <c r="P28" s="232"/>
      <c r="Q28" s="232"/>
      <c r="R28" s="232"/>
      <c r="S28" s="232"/>
    </row>
    <row r="29" spans="1:19" x14ac:dyDescent="0.2">
      <c r="A29" s="624">
        <f t="shared" si="0"/>
        <v>19</v>
      </c>
      <c r="B29" s="147" t="s">
        <v>50</v>
      </c>
      <c r="C29" s="97"/>
      <c r="D29" s="97"/>
      <c r="E29" s="97"/>
      <c r="F29" s="97"/>
      <c r="G29" s="97"/>
      <c r="H29" s="225"/>
      <c r="I29" s="225"/>
      <c r="J29" s="390"/>
      <c r="K29" s="97" t="s">
        <v>32</v>
      </c>
      <c r="L29" s="136"/>
      <c r="M29" s="232"/>
      <c r="N29" s="232"/>
      <c r="O29" s="232"/>
      <c r="P29" s="232"/>
      <c r="Q29" s="232"/>
      <c r="R29" s="232"/>
      <c r="S29" s="232"/>
    </row>
    <row r="30" spans="1:19" s="102" customFormat="1" x14ac:dyDescent="0.2">
      <c r="A30" s="624">
        <f t="shared" si="0"/>
        <v>20</v>
      </c>
      <c r="B30" s="147" t="s">
        <v>48</v>
      </c>
      <c r="C30" s="97"/>
      <c r="D30" s="97"/>
      <c r="E30" s="97"/>
      <c r="F30" s="97"/>
      <c r="G30" s="97"/>
      <c r="H30" s="225"/>
      <c r="I30" s="225"/>
      <c r="J30" s="390"/>
      <c r="K30" s="97" t="s">
        <v>473</v>
      </c>
      <c r="L30" s="136"/>
      <c r="M30" s="232"/>
      <c r="N30" s="232"/>
      <c r="O30" s="289"/>
      <c r="P30" s="289"/>
      <c r="Q30" s="289"/>
      <c r="R30" s="289"/>
      <c r="S30" s="289"/>
    </row>
    <row r="31" spans="1:19" x14ac:dyDescent="0.2">
      <c r="A31" s="624">
        <f t="shared" si="0"/>
        <v>21</v>
      </c>
      <c r="B31" s="147"/>
      <c r="C31" s="97"/>
      <c r="D31" s="97"/>
      <c r="E31" s="97"/>
      <c r="F31" s="97"/>
      <c r="G31" s="97"/>
      <c r="H31" s="225"/>
      <c r="I31" s="225"/>
      <c r="J31" s="390"/>
      <c r="K31" s="97" t="s">
        <v>470</v>
      </c>
      <c r="L31" s="136"/>
      <c r="M31" s="232"/>
      <c r="N31" s="232"/>
      <c r="O31" s="232"/>
      <c r="P31" s="232"/>
      <c r="Q31" s="232"/>
      <c r="R31" s="232"/>
      <c r="S31" s="232"/>
    </row>
    <row r="32" spans="1:19" s="9" customFormat="1" x14ac:dyDescent="0.2">
      <c r="A32" s="624">
        <f t="shared" si="0"/>
        <v>22</v>
      </c>
      <c r="B32" s="1257" t="s">
        <v>52</v>
      </c>
      <c r="C32" s="1258">
        <f>C14+C20</f>
        <v>38337</v>
      </c>
      <c r="D32" s="1258">
        <f>D14+D20</f>
        <v>65449</v>
      </c>
      <c r="E32" s="1258">
        <f>E14+E20</f>
        <v>103786</v>
      </c>
      <c r="F32" s="1258">
        <f>F14</f>
        <v>0</v>
      </c>
      <c r="G32" s="1258">
        <f>G14</f>
        <v>1386</v>
      </c>
      <c r="H32" s="1281">
        <f t="shared" si="3"/>
        <v>38337</v>
      </c>
      <c r="I32" s="1281">
        <f t="shared" si="4"/>
        <v>66835</v>
      </c>
      <c r="J32" s="1294">
        <f t="shared" si="5"/>
        <v>105172</v>
      </c>
      <c r="K32" s="97" t="s">
        <v>466</v>
      </c>
      <c r="L32" s="136"/>
      <c r="M32" s="232"/>
      <c r="N32" s="232"/>
      <c r="O32" s="290"/>
      <c r="P32" s="290"/>
      <c r="Q32" s="290"/>
      <c r="R32" s="290"/>
      <c r="S32" s="290"/>
    </row>
    <row r="33" spans="1:19" x14ac:dyDescent="0.2">
      <c r="A33" s="624">
        <f t="shared" si="0"/>
        <v>23</v>
      </c>
      <c r="B33" s="142" t="s">
        <v>67</v>
      </c>
      <c r="C33" s="144">
        <f>C16+C24+C25+C26+C27+C30</f>
        <v>0</v>
      </c>
      <c r="D33" s="144">
        <f t="shared" ref="D33:E33" si="6">D16+D24+D25+D26+D27+D30</f>
        <v>0</v>
      </c>
      <c r="E33" s="144">
        <f t="shared" si="6"/>
        <v>0</v>
      </c>
      <c r="F33" s="144">
        <v>0</v>
      </c>
      <c r="G33" s="144">
        <v>0</v>
      </c>
      <c r="H33" s="144">
        <v>0</v>
      </c>
      <c r="I33" s="144">
        <v>0</v>
      </c>
      <c r="J33" s="1265">
        <v>0</v>
      </c>
      <c r="K33" s="105" t="s">
        <v>68</v>
      </c>
      <c r="L33" s="1256">
        <f>SUM(L27:L32)</f>
        <v>8880</v>
      </c>
      <c r="M33" s="288">
        <f>SUM(M27:M32)</f>
        <v>0</v>
      </c>
      <c r="N33" s="288">
        <f>SUM(N27:N31)</f>
        <v>8880</v>
      </c>
      <c r="O33" s="288">
        <v>0</v>
      </c>
      <c r="P33" s="288">
        <v>0</v>
      </c>
      <c r="Q33" s="288">
        <f>SUM(Q27:Q32)</f>
        <v>8880</v>
      </c>
      <c r="R33" s="288">
        <f>SUM(R27:R32)</f>
        <v>0</v>
      </c>
      <c r="S33" s="288">
        <f>SUM(S27:S32)</f>
        <v>8880</v>
      </c>
    </row>
    <row r="34" spans="1:19" x14ac:dyDescent="0.2">
      <c r="A34" s="624">
        <f t="shared" si="0"/>
        <v>24</v>
      </c>
      <c r="B34" s="145" t="s">
        <v>51</v>
      </c>
      <c r="C34" s="140">
        <f>SUM(C32:C33)</f>
        <v>38337</v>
      </c>
      <c r="D34" s="140">
        <f>SUM(D32:D33)</f>
        <v>65449</v>
      </c>
      <c r="E34" s="140">
        <f>SUM(C34:D34)</f>
        <v>103786</v>
      </c>
      <c r="F34" s="140">
        <f>F33+F32</f>
        <v>0</v>
      </c>
      <c r="G34" s="140">
        <f t="shared" ref="G34:J34" si="7">G33+G32</f>
        <v>1386</v>
      </c>
      <c r="H34" s="140">
        <f t="shared" si="7"/>
        <v>38337</v>
      </c>
      <c r="I34" s="140">
        <f t="shared" si="7"/>
        <v>66835</v>
      </c>
      <c r="J34" s="1266">
        <f t="shared" si="7"/>
        <v>105172</v>
      </c>
      <c r="K34" s="140" t="s">
        <v>69</v>
      </c>
      <c r="L34" s="140">
        <f>L24+L33</f>
        <v>135946</v>
      </c>
      <c r="M34" s="290">
        <f>M24+M33</f>
        <v>270958</v>
      </c>
      <c r="N34" s="290">
        <f>N24+N33</f>
        <v>406904</v>
      </c>
      <c r="O34" s="290">
        <f>O24+O33</f>
        <v>0</v>
      </c>
      <c r="P34" s="290">
        <f t="shared" ref="P34:S34" si="8">P24+P33</f>
        <v>1386</v>
      </c>
      <c r="Q34" s="290">
        <f t="shared" si="8"/>
        <v>135946</v>
      </c>
      <c r="R34" s="290">
        <f t="shared" si="8"/>
        <v>272344</v>
      </c>
      <c r="S34" s="290">
        <f t="shared" si="8"/>
        <v>408290</v>
      </c>
    </row>
    <row r="35" spans="1:19" x14ac:dyDescent="0.2">
      <c r="A35" s="624">
        <f t="shared" si="0"/>
        <v>25</v>
      </c>
      <c r="B35" s="147"/>
      <c r="C35" s="136"/>
      <c r="D35" s="136"/>
      <c r="E35" s="136"/>
      <c r="F35" s="136"/>
      <c r="G35" s="136"/>
      <c r="H35" s="136"/>
      <c r="I35" s="136"/>
      <c r="J35" s="1267"/>
      <c r="K35" s="136"/>
      <c r="L35" s="136"/>
      <c r="M35" s="232"/>
      <c r="N35" s="232"/>
      <c r="O35" s="232"/>
      <c r="P35" s="232"/>
      <c r="Q35" s="232"/>
      <c r="R35" s="232"/>
      <c r="S35" s="232"/>
    </row>
    <row r="36" spans="1:19" x14ac:dyDescent="0.2">
      <c r="A36" s="624">
        <f t="shared" si="0"/>
        <v>26</v>
      </c>
      <c r="B36" s="147"/>
      <c r="C36" s="136"/>
      <c r="D36" s="136"/>
      <c r="E36" s="136"/>
      <c r="F36" s="136"/>
      <c r="G36" s="136"/>
      <c r="H36" s="136"/>
      <c r="I36" s="136"/>
      <c r="J36" s="1267"/>
      <c r="K36" s="1256"/>
      <c r="L36" s="1256"/>
      <c r="M36" s="288"/>
      <c r="N36" s="288"/>
      <c r="O36" s="232"/>
      <c r="P36" s="232"/>
      <c r="Q36" s="232"/>
      <c r="R36" s="232"/>
      <c r="S36" s="232"/>
    </row>
    <row r="37" spans="1:19" s="9" customFormat="1" x14ac:dyDescent="0.2">
      <c r="A37" s="624">
        <f t="shared" si="0"/>
        <v>27</v>
      </c>
      <c r="B37" s="147"/>
      <c r="C37" s="136"/>
      <c r="D37" s="136"/>
      <c r="E37" s="136"/>
      <c r="F37" s="136"/>
      <c r="G37" s="136"/>
      <c r="H37" s="136"/>
      <c r="I37" s="136"/>
      <c r="J37" s="1267"/>
      <c r="K37" s="136"/>
      <c r="L37" s="136"/>
      <c r="M37" s="232"/>
      <c r="N37" s="232"/>
      <c r="O37" s="290"/>
      <c r="P37" s="290"/>
      <c r="Q37" s="290"/>
      <c r="R37" s="290"/>
      <c r="S37" s="290"/>
    </row>
    <row r="38" spans="1:19" s="9" customFormat="1" x14ac:dyDescent="0.2">
      <c r="A38" s="624">
        <f t="shared" si="0"/>
        <v>28</v>
      </c>
      <c r="B38" s="103" t="s">
        <v>53</v>
      </c>
      <c r="C38" s="103"/>
      <c r="D38" s="103"/>
      <c r="E38" s="103"/>
      <c r="F38" s="103"/>
      <c r="G38" s="103"/>
      <c r="H38" s="103"/>
      <c r="I38" s="103"/>
      <c r="J38" s="421"/>
      <c r="K38" s="103" t="s">
        <v>33</v>
      </c>
      <c r="L38" s="140"/>
      <c r="M38" s="290"/>
      <c r="N38" s="290"/>
      <c r="O38" s="290"/>
      <c r="P38" s="290"/>
      <c r="Q38" s="290"/>
      <c r="R38" s="290"/>
      <c r="S38" s="290"/>
    </row>
    <row r="39" spans="1:19" s="9" customFormat="1" x14ac:dyDescent="0.2">
      <c r="A39" s="624">
        <f t="shared" si="0"/>
        <v>29</v>
      </c>
      <c r="B39" s="1260" t="s">
        <v>726</v>
      </c>
      <c r="C39" s="103"/>
      <c r="D39" s="103"/>
      <c r="E39" s="103"/>
      <c r="F39" s="103"/>
      <c r="G39" s="103"/>
      <c r="H39" s="103"/>
      <c r="I39" s="103"/>
      <c r="J39" s="421"/>
      <c r="K39" s="1260" t="s">
        <v>4</v>
      </c>
      <c r="L39" s="140"/>
      <c r="M39" s="1259"/>
      <c r="N39" s="1259"/>
      <c r="O39" s="290"/>
      <c r="P39" s="290"/>
      <c r="Q39" s="290"/>
      <c r="R39" s="290"/>
      <c r="S39" s="290"/>
    </row>
    <row r="40" spans="1:19" s="9" customFormat="1" x14ac:dyDescent="0.2">
      <c r="A40" s="624">
        <f t="shared" si="0"/>
        <v>30</v>
      </c>
      <c r="B40" s="134" t="s">
        <v>1019</v>
      </c>
      <c r="C40" s="103"/>
      <c r="D40" s="103"/>
      <c r="E40" s="103"/>
      <c r="F40" s="103"/>
      <c r="G40" s="103"/>
      <c r="H40" s="103"/>
      <c r="I40" s="103"/>
      <c r="J40" s="421"/>
      <c r="K40" s="134" t="s">
        <v>3</v>
      </c>
      <c r="L40" s="140"/>
      <c r="M40" s="290"/>
      <c r="N40" s="290"/>
      <c r="O40" s="290"/>
      <c r="P40" s="290"/>
      <c r="Q40" s="290"/>
      <c r="R40" s="290"/>
      <c r="S40" s="290"/>
    </row>
    <row r="41" spans="1:19" x14ac:dyDescent="0.2">
      <c r="A41" s="624">
        <f t="shared" si="0"/>
        <v>31</v>
      </c>
      <c r="B41" s="97" t="s">
        <v>728</v>
      </c>
      <c r="C41" s="151"/>
      <c r="D41" s="151"/>
      <c r="E41" s="151"/>
      <c r="F41" s="151"/>
      <c r="G41" s="151"/>
      <c r="H41" s="151"/>
      <c r="I41" s="151"/>
      <c r="J41" s="1268"/>
      <c r="K41" s="97" t="s">
        <v>5</v>
      </c>
      <c r="L41" s="140"/>
      <c r="M41" s="290"/>
      <c r="N41" s="290"/>
      <c r="O41" s="232"/>
      <c r="P41" s="232"/>
      <c r="Q41" s="232"/>
      <c r="R41" s="232"/>
      <c r="S41" s="232"/>
    </row>
    <row r="42" spans="1:19" x14ac:dyDescent="0.2">
      <c r="A42" s="624">
        <f t="shared" si="0"/>
        <v>32</v>
      </c>
      <c r="B42" s="97" t="s">
        <v>223</v>
      </c>
      <c r="C42" s="97"/>
      <c r="D42" s="97"/>
      <c r="E42" s="97"/>
      <c r="F42" s="97"/>
      <c r="G42" s="97"/>
      <c r="H42" s="97"/>
      <c r="I42" s="97"/>
      <c r="J42" s="375"/>
      <c r="K42" s="97" t="s">
        <v>6</v>
      </c>
      <c r="L42" s="140"/>
      <c r="M42" s="290"/>
      <c r="N42" s="290"/>
      <c r="O42" s="232"/>
      <c r="P42" s="232"/>
      <c r="Q42" s="232"/>
      <c r="R42" s="232"/>
      <c r="S42" s="232"/>
    </row>
    <row r="43" spans="1:19" x14ac:dyDescent="0.2">
      <c r="A43" s="624">
        <f t="shared" si="0"/>
        <v>33</v>
      </c>
      <c r="B43" s="1261" t="s">
        <v>224</v>
      </c>
      <c r="C43" s="97"/>
      <c r="D43" s="97"/>
      <c r="E43" s="97">
        <f>C43+D43</f>
        <v>0</v>
      </c>
      <c r="F43" s="97"/>
      <c r="G43" s="97"/>
      <c r="H43" s="97"/>
      <c r="I43" s="97"/>
      <c r="J43" s="375"/>
      <c r="K43" s="97" t="s">
        <v>7</v>
      </c>
      <c r="L43" s="140"/>
      <c r="M43" s="290"/>
      <c r="N43" s="290"/>
      <c r="O43" s="232"/>
      <c r="P43" s="232"/>
      <c r="Q43" s="232"/>
      <c r="R43" s="232"/>
      <c r="S43" s="232"/>
    </row>
    <row r="44" spans="1:19" x14ac:dyDescent="0.2">
      <c r="A44" s="624">
        <f t="shared" si="0"/>
        <v>34</v>
      </c>
      <c r="B44" s="1261" t="s">
        <v>1014</v>
      </c>
      <c r="C44" s="97"/>
      <c r="D44" s="97"/>
      <c r="E44" s="97"/>
      <c r="F44" s="97"/>
      <c r="G44" s="97"/>
      <c r="H44" s="97"/>
      <c r="I44" s="97"/>
      <c r="J44" s="375"/>
      <c r="K44" s="97"/>
      <c r="L44" s="140"/>
      <c r="M44" s="290"/>
      <c r="N44" s="290"/>
      <c r="O44" s="232"/>
      <c r="P44" s="232"/>
      <c r="Q44" s="232"/>
      <c r="R44" s="232"/>
      <c r="S44" s="232"/>
    </row>
    <row r="45" spans="1:19" x14ac:dyDescent="0.2">
      <c r="A45" s="624">
        <f t="shared" si="0"/>
        <v>35</v>
      </c>
      <c r="B45" s="97" t="s">
        <v>729</v>
      </c>
      <c r="C45" s="97"/>
      <c r="D45" s="97"/>
      <c r="E45" s="97"/>
      <c r="F45" s="97"/>
      <c r="G45" s="97"/>
      <c r="H45" s="97"/>
      <c r="I45" s="97"/>
      <c r="J45" s="375"/>
      <c r="K45" s="97" t="s">
        <v>8</v>
      </c>
      <c r="L45" s="140"/>
      <c r="M45" s="290"/>
      <c r="N45" s="232"/>
      <c r="O45" s="232"/>
      <c r="P45" s="232"/>
      <c r="Q45" s="232"/>
      <c r="R45" s="232"/>
      <c r="S45" s="232"/>
    </row>
    <row r="46" spans="1:19" x14ac:dyDescent="0.2">
      <c r="A46" s="624">
        <f t="shared" si="0"/>
        <v>36</v>
      </c>
      <c r="B46" s="97" t="s">
        <v>730</v>
      </c>
      <c r="C46" s="103"/>
      <c r="D46" s="103"/>
      <c r="E46" s="103"/>
      <c r="F46" s="103"/>
      <c r="G46" s="103"/>
      <c r="H46" s="103"/>
      <c r="I46" s="103"/>
      <c r="J46" s="421"/>
      <c r="K46" s="97" t="s">
        <v>9</v>
      </c>
      <c r="L46" s="140"/>
      <c r="M46" s="290"/>
      <c r="N46" s="232"/>
      <c r="O46" s="232"/>
      <c r="P46" s="232"/>
      <c r="Q46" s="232"/>
      <c r="R46" s="232"/>
      <c r="S46" s="232"/>
    </row>
    <row r="47" spans="1:19" x14ac:dyDescent="0.2">
      <c r="A47" s="624">
        <f t="shared" si="0"/>
        <v>37</v>
      </c>
      <c r="B47" s="97" t="s">
        <v>227</v>
      </c>
      <c r="C47" s="97"/>
      <c r="D47" s="97"/>
      <c r="E47" s="97"/>
      <c r="F47" s="97"/>
      <c r="G47" s="97"/>
      <c r="H47" s="97"/>
      <c r="I47" s="97"/>
      <c r="J47" s="375"/>
      <c r="K47" s="97" t="s">
        <v>10</v>
      </c>
      <c r="L47" s="136"/>
      <c r="M47" s="232"/>
      <c r="N47" s="232"/>
      <c r="O47" s="232"/>
      <c r="P47" s="232"/>
      <c r="Q47" s="232"/>
      <c r="R47" s="232"/>
      <c r="S47" s="232"/>
    </row>
    <row r="48" spans="1:19" x14ac:dyDescent="0.2">
      <c r="A48" s="624">
        <f t="shared" si="0"/>
        <v>38</v>
      </c>
      <c r="B48" s="1261" t="s">
        <v>228</v>
      </c>
      <c r="C48" s="225">
        <f>L24-(C32+C43)</f>
        <v>88729</v>
      </c>
      <c r="D48" s="225">
        <f>M24-(D32+D43)</f>
        <v>205509</v>
      </c>
      <c r="E48" s="225">
        <f>N24-(E32+E43)</f>
        <v>294238</v>
      </c>
      <c r="F48" s="225">
        <f>O24-(F32+F43)</f>
        <v>0</v>
      </c>
      <c r="G48" s="225">
        <f t="shared" ref="G48:J48" si="9">P24-(G32+G43)</f>
        <v>0</v>
      </c>
      <c r="H48" s="225">
        <f t="shared" si="9"/>
        <v>88729</v>
      </c>
      <c r="I48" s="225">
        <f t="shared" si="9"/>
        <v>205509</v>
      </c>
      <c r="J48" s="390">
        <f t="shared" si="9"/>
        <v>294238</v>
      </c>
      <c r="K48" s="97" t="s">
        <v>11</v>
      </c>
      <c r="L48" s="136"/>
      <c r="M48" s="232"/>
      <c r="N48" s="232"/>
      <c r="O48" s="232"/>
      <c r="P48" s="232"/>
      <c r="Q48" s="232"/>
      <c r="R48" s="232"/>
      <c r="S48" s="232"/>
    </row>
    <row r="49" spans="1:19" x14ac:dyDescent="0.2">
      <c r="A49" s="624">
        <f t="shared" si="0"/>
        <v>39</v>
      </c>
      <c r="B49" s="1261" t="s">
        <v>229</v>
      </c>
      <c r="C49" s="97">
        <f>L33-C33</f>
        <v>8880</v>
      </c>
      <c r="D49" s="97">
        <f>M33-D33</f>
        <v>0</v>
      </c>
      <c r="E49" s="97">
        <f>N33-E33</f>
        <v>8880</v>
      </c>
      <c r="F49" s="97">
        <f>O33-F33</f>
        <v>0</v>
      </c>
      <c r="G49" s="97">
        <f t="shared" ref="G49:J49" si="10">P33-G33</f>
        <v>0</v>
      </c>
      <c r="H49" s="97">
        <f t="shared" si="10"/>
        <v>8880</v>
      </c>
      <c r="I49" s="97">
        <f t="shared" si="10"/>
        <v>0</v>
      </c>
      <c r="J49" s="375">
        <f t="shared" si="10"/>
        <v>8880</v>
      </c>
      <c r="K49" s="97" t="s">
        <v>12</v>
      </c>
      <c r="L49" s="136"/>
      <c r="M49" s="232"/>
      <c r="N49" s="232"/>
      <c r="O49" s="232"/>
      <c r="P49" s="232"/>
      <c r="Q49" s="232"/>
      <c r="R49" s="232"/>
      <c r="S49" s="232"/>
    </row>
    <row r="50" spans="1:19" x14ac:dyDescent="0.2">
      <c r="A50" s="624">
        <f t="shared" si="0"/>
        <v>40</v>
      </c>
      <c r="B50" s="97" t="s">
        <v>1</v>
      </c>
      <c r="C50" s="97"/>
      <c r="D50" s="97"/>
      <c r="E50" s="97"/>
      <c r="F50" s="97"/>
      <c r="G50" s="97"/>
      <c r="H50" s="97"/>
      <c r="I50" s="97"/>
      <c r="J50" s="375"/>
      <c r="K50" s="97" t="s">
        <v>13</v>
      </c>
      <c r="L50" s="136"/>
      <c r="M50" s="232"/>
      <c r="N50" s="232"/>
      <c r="O50" s="232"/>
      <c r="P50" s="232"/>
      <c r="Q50" s="232"/>
      <c r="R50" s="232"/>
      <c r="S50" s="232"/>
    </row>
    <row r="51" spans="1:19" x14ac:dyDescent="0.2">
      <c r="A51" s="624">
        <f t="shared" si="0"/>
        <v>41</v>
      </c>
      <c r="B51" s="97"/>
      <c r="C51" s="97"/>
      <c r="D51" s="97"/>
      <c r="E51" s="97"/>
      <c r="F51" s="97"/>
      <c r="G51" s="97"/>
      <c r="H51" s="97"/>
      <c r="I51" s="97"/>
      <c r="J51" s="375"/>
      <c r="K51" s="97" t="s">
        <v>14</v>
      </c>
      <c r="L51" s="136"/>
      <c r="M51" s="232"/>
      <c r="N51" s="232"/>
      <c r="O51" s="232"/>
      <c r="P51" s="232"/>
      <c r="Q51" s="232"/>
      <c r="R51" s="232"/>
      <c r="S51" s="232"/>
    </row>
    <row r="52" spans="1:19" x14ac:dyDescent="0.2">
      <c r="A52" s="624">
        <f t="shared" si="0"/>
        <v>42</v>
      </c>
      <c r="B52" s="97"/>
      <c r="C52" s="97"/>
      <c r="D52" s="97"/>
      <c r="E52" s="97"/>
      <c r="F52" s="97"/>
      <c r="G52" s="97"/>
      <c r="H52" s="97"/>
      <c r="I52" s="97"/>
      <c r="J52" s="375"/>
      <c r="K52" s="97" t="s">
        <v>15</v>
      </c>
      <c r="L52" s="136"/>
      <c r="M52" s="232"/>
      <c r="N52" s="232"/>
      <c r="O52" s="232"/>
      <c r="P52" s="232"/>
      <c r="Q52" s="232"/>
      <c r="R52" s="232"/>
      <c r="S52" s="232"/>
    </row>
    <row r="53" spans="1:19" ht="12" thickBot="1" x14ac:dyDescent="0.25">
      <c r="A53" s="624">
        <f t="shared" si="0"/>
        <v>43</v>
      </c>
      <c r="B53" s="145" t="s">
        <v>474</v>
      </c>
      <c r="C53" s="103">
        <f>SUM(C39:C51)</f>
        <v>97609</v>
      </c>
      <c r="D53" s="103">
        <f>SUM(D39:D51)</f>
        <v>205509</v>
      </c>
      <c r="E53" s="103">
        <f>SUM(E39:E51)</f>
        <v>303118</v>
      </c>
      <c r="F53" s="103">
        <f>SUM(F48:F52)</f>
        <v>0</v>
      </c>
      <c r="G53" s="103">
        <f>SUM(G48:G52)</f>
        <v>0</v>
      </c>
      <c r="H53" s="103">
        <f>SUM(H48:H52)</f>
        <v>97609</v>
      </c>
      <c r="I53" s="103">
        <f>SUM(I48:I52)</f>
        <v>205509</v>
      </c>
      <c r="J53" s="421">
        <f>SUM(J48:J52)</f>
        <v>303118</v>
      </c>
      <c r="K53" s="103" t="s">
        <v>467</v>
      </c>
      <c r="L53" s="140">
        <f>SUM(L39:L52)</f>
        <v>0</v>
      </c>
      <c r="M53" s="290">
        <f>SUM(M39:M52)</f>
        <v>0</v>
      </c>
      <c r="N53" s="290">
        <f>SUM(N39:N52)</f>
        <v>0</v>
      </c>
      <c r="O53" s="290">
        <v>0</v>
      </c>
      <c r="P53" s="290">
        <v>0</v>
      </c>
      <c r="Q53" s="290">
        <v>0</v>
      </c>
      <c r="R53" s="290">
        <v>0</v>
      </c>
      <c r="S53" s="290">
        <v>0</v>
      </c>
    </row>
    <row r="54" spans="1:19" ht="12" thickBot="1" x14ac:dyDescent="0.25">
      <c r="A54" s="1269">
        <f t="shared" si="0"/>
        <v>44</v>
      </c>
      <c r="B54" s="409" t="s">
        <v>469</v>
      </c>
      <c r="C54" s="1270">
        <f>C34+C53</f>
        <v>135946</v>
      </c>
      <c r="D54" s="1270">
        <f>D34+D53</f>
        <v>270958</v>
      </c>
      <c r="E54" s="1270">
        <f>E34+E53</f>
        <v>406904</v>
      </c>
      <c r="F54" s="1270">
        <f>F53+F34</f>
        <v>0</v>
      </c>
      <c r="G54" s="1270">
        <f t="shared" ref="G54:J54" si="11">G53+G34</f>
        <v>1386</v>
      </c>
      <c r="H54" s="1270">
        <f t="shared" si="11"/>
        <v>135946</v>
      </c>
      <c r="I54" s="1270">
        <f t="shared" si="11"/>
        <v>272344</v>
      </c>
      <c r="J54" s="1271">
        <f t="shared" si="11"/>
        <v>408290</v>
      </c>
      <c r="K54" s="409" t="s">
        <v>468</v>
      </c>
      <c r="L54" s="1270">
        <f>L34+L53</f>
        <v>135946</v>
      </c>
      <c r="M54" s="1272">
        <f>M34+M53</f>
        <v>270958</v>
      </c>
      <c r="N54" s="1272">
        <f>N34+N53</f>
        <v>406904</v>
      </c>
      <c r="O54" s="1272">
        <f>O53+O34</f>
        <v>0</v>
      </c>
      <c r="P54" s="1272">
        <f t="shared" ref="P54:S54" si="12">P53+P34</f>
        <v>1386</v>
      </c>
      <c r="Q54" s="1272">
        <f t="shared" si="12"/>
        <v>135946</v>
      </c>
      <c r="R54" s="1272">
        <f t="shared" si="12"/>
        <v>272344</v>
      </c>
      <c r="S54" s="1272">
        <f t="shared" si="12"/>
        <v>408290</v>
      </c>
    </row>
    <row r="55" spans="1:19" x14ac:dyDescent="0.2">
      <c r="B55" s="150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55"/>
      <c r="N55" s="155"/>
      <c r="O55" s="8"/>
    </row>
    <row r="56" spans="1:19" x14ac:dyDescent="0.2">
      <c r="O56" s="8"/>
    </row>
  </sheetData>
  <sheetProtection selectLockedCells="1" selectUnlockedCells="1"/>
  <mergeCells count="16">
    <mergeCell ref="B1:S1"/>
    <mergeCell ref="A8:A10"/>
    <mergeCell ref="B8:B9"/>
    <mergeCell ref="K8:K9"/>
    <mergeCell ref="C9:E9"/>
    <mergeCell ref="L9:N9"/>
    <mergeCell ref="F9:G9"/>
    <mergeCell ref="H9:J9"/>
    <mergeCell ref="A4:S4"/>
    <mergeCell ref="A5:S5"/>
    <mergeCell ref="A6:S6"/>
    <mergeCell ref="O9:P9"/>
    <mergeCell ref="Q9:S9"/>
    <mergeCell ref="L8:S8"/>
    <mergeCell ref="C8:J8"/>
    <mergeCell ref="A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95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J47" sqref="J47"/>
    </sheetView>
  </sheetViews>
  <sheetFormatPr defaultColWidth="9.140625" defaultRowHeight="15.75" x14ac:dyDescent="0.25"/>
  <cols>
    <col min="1" max="1" width="3.85546875" style="14" customWidth="1"/>
    <col min="2" max="2" width="42.5703125" style="14" customWidth="1"/>
    <col min="3" max="4" width="9.7109375" style="319" customWidth="1"/>
    <col min="5" max="5" width="10.42578125" style="319" bestFit="1" customWidth="1"/>
    <col min="6" max="9" width="9.7109375" style="319" customWidth="1"/>
    <col min="10" max="10" width="10.140625" style="319" customWidth="1"/>
    <col min="11" max="14" width="9.7109375" style="319" customWidth="1"/>
    <col min="15" max="15" width="11.5703125" style="319" customWidth="1"/>
    <col min="16" max="16" width="10.140625" style="14" customWidth="1"/>
    <col min="17" max="16384" width="9.140625" style="14"/>
  </cols>
  <sheetData>
    <row r="1" spans="1:33" ht="12.75" customHeight="1" x14ac:dyDescent="0.25">
      <c r="B1" s="1527" t="s">
        <v>1241</v>
      </c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/>
      <c r="O1" s="1527"/>
      <c r="P1" s="686"/>
      <c r="Q1" s="686"/>
      <c r="R1" s="686"/>
      <c r="S1" s="686"/>
      <c r="T1" s="686"/>
      <c r="U1" s="686"/>
      <c r="V1" s="686"/>
      <c r="W1" s="686"/>
      <c r="X1" s="686"/>
      <c r="Y1" s="686"/>
      <c r="Z1" s="686"/>
      <c r="AA1" s="686"/>
      <c r="AB1" s="686"/>
      <c r="AC1" s="686"/>
      <c r="AD1" s="686"/>
      <c r="AE1" s="686"/>
      <c r="AF1" s="686"/>
      <c r="AG1" s="686"/>
    </row>
    <row r="2" spans="1:33" ht="14.1" customHeight="1" x14ac:dyDescent="0.25">
      <c r="A2" s="27"/>
      <c r="B2" s="1525" t="s">
        <v>87</v>
      </c>
      <c r="C2" s="1525"/>
      <c r="D2" s="1525"/>
      <c r="E2" s="1525"/>
      <c r="F2" s="1525"/>
      <c r="G2" s="1525"/>
      <c r="H2" s="1525"/>
      <c r="I2" s="1525"/>
      <c r="J2" s="1525"/>
      <c r="K2" s="1525"/>
      <c r="L2" s="1525"/>
      <c r="M2" s="1525"/>
      <c r="N2" s="1525"/>
      <c r="O2" s="1525"/>
    </row>
    <row r="3" spans="1:33" ht="14.1" customHeight="1" x14ac:dyDescent="0.25">
      <c r="A3" s="27"/>
      <c r="B3" s="1525" t="s">
        <v>1166</v>
      </c>
      <c r="C3" s="1525"/>
      <c r="D3" s="1525"/>
      <c r="E3" s="1525"/>
      <c r="F3" s="1525"/>
      <c r="G3" s="1525"/>
      <c r="H3" s="1525"/>
      <c r="I3" s="1525"/>
      <c r="J3" s="1525"/>
      <c r="K3" s="1525"/>
      <c r="L3" s="1525"/>
      <c r="M3" s="1525"/>
      <c r="N3" s="1525"/>
      <c r="O3" s="1525"/>
    </row>
    <row r="4" spans="1:33" ht="14.1" customHeight="1" x14ac:dyDescent="0.25">
      <c r="A4" s="27"/>
      <c r="B4" s="626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/>
    </row>
    <row r="5" spans="1:33" ht="15" customHeight="1" x14ac:dyDescent="0.25">
      <c r="A5" s="1526"/>
      <c r="B5" s="628" t="s">
        <v>57</v>
      </c>
      <c r="C5" s="629" t="s">
        <v>58</v>
      </c>
      <c r="D5" s="629" t="s">
        <v>59</v>
      </c>
      <c r="E5" s="629" t="s">
        <v>60</v>
      </c>
      <c r="F5" s="629" t="s">
        <v>499</v>
      </c>
      <c r="G5" s="629" t="s">
        <v>500</v>
      </c>
      <c r="H5" s="629" t="s">
        <v>501</v>
      </c>
      <c r="I5" s="629" t="s">
        <v>629</v>
      </c>
      <c r="J5" s="629" t="s">
        <v>640</v>
      </c>
      <c r="K5" s="629" t="s">
        <v>641</v>
      </c>
      <c r="L5" s="629" t="s">
        <v>642</v>
      </c>
      <c r="M5" s="629" t="s">
        <v>643</v>
      </c>
      <c r="N5" s="629" t="s">
        <v>644</v>
      </c>
      <c r="O5" s="629" t="s">
        <v>645</v>
      </c>
    </row>
    <row r="6" spans="1:33" ht="12.75" customHeight="1" x14ac:dyDescent="0.25">
      <c r="A6" s="1526"/>
      <c r="B6" s="625" t="s">
        <v>86</v>
      </c>
      <c r="C6" s="630" t="s">
        <v>646</v>
      </c>
      <c r="D6" s="630" t="s">
        <v>647</v>
      </c>
      <c r="E6" s="630" t="s">
        <v>648</v>
      </c>
      <c r="F6" s="630" t="s">
        <v>649</v>
      </c>
      <c r="G6" s="630" t="s">
        <v>650</v>
      </c>
      <c r="H6" s="630" t="s">
        <v>651</v>
      </c>
      <c r="I6" s="630" t="s">
        <v>652</v>
      </c>
      <c r="J6" s="630" t="s">
        <v>653</v>
      </c>
      <c r="K6" s="630" t="s">
        <v>654</v>
      </c>
      <c r="L6" s="630" t="s">
        <v>655</v>
      </c>
      <c r="M6" s="630" t="s">
        <v>656</v>
      </c>
      <c r="N6" s="630" t="s">
        <v>657</v>
      </c>
      <c r="O6" s="630" t="s">
        <v>564</v>
      </c>
    </row>
    <row r="7" spans="1:33" s="27" customFormat="1" ht="12.75" customHeight="1" x14ac:dyDescent="0.25">
      <c r="A7" s="19" t="s">
        <v>508</v>
      </c>
      <c r="B7" s="29" t="s">
        <v>687</v>
      </c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</row>
    <row r="8" spans="1:33" s="27" customFormat="1" ht="15.75" customHeight="1" x14ac:dyDescent="0.25">
      <c r="A8" s="19" t="s">
        <v>516</v>
      </c>
      <c r="B8" s="27" t="s">
        <v>681</v>
      </c>
      <c r="C8" s="206">
        <f>O8/12</f>
        <v>68041.083333333328</v>
      </c>
      <c r="D8" s="206">
        <v>65801</v>
      </c>
      <c r="E8" s="206">
        <v>65796</v>
      </c>
      <c r="F8" s="206">
        <v>65796</v>
      </c>
      <c r="G8" s="206">
        <v>65796</v>
      </c>
      <c r="H8" s="206">
        <v>65796</v>
      </c>
      <c r="I8" s="206">
        <v>65796</v>
      </c>
      <c r="J8" s="206">
        <v>65796</v>
      </c>
      <c r="K8" s="206">
        <v>65796</v>
      </c>
      <c r="L8" s="206">
        <v>65796</v>
      </c>
      <c r="M8" s="206">
        <v>65796</v>
      </c>
      <c r="N8" s="206">
        <v>65796</v>
      </c>
      <c r="O8" s="206">
        <f>Össz.önkor.mérleg.!E11</f>
        <v>816493</v>
      </c>
      <c r="P8" s="30"/>
    </row>
    <row r="9" spans="1:33" s="27" customFormat="1" ht="16.5" customHeight="1" x14ac:dyDescent="0.25">
      <c r="A9" s="19" t="s">
        <v>517</v>
      </c>
      <c r="B9" s="27" t="s">
        <v>682</v>
      </c>
      <c r="C9" s="206">
        <f>O9/12</f>
        <v>2629</v>
      </c>
      <c r="D9" s="206">
        <v>2629</v>
      </c>
      <c r="E9" s="206">
        <v>2629</v>
      </c>
      <c r="F9" s="206">
        <v>2629</v>
      </c>
      <c r="G9" s="206">
        <v>2629</v>
      </c>
      <c r="H9" s="206">
        <v>2629</v>
      </c>
      <c r="I9" s="206">
        <v>2629</v>
      </c>
      <c r="J9" s="206">
        <v>2629</v>
      </c>
      <c r="K9" s="206">
        <v>2629</v>
      </c>
      <c r="L9" s="206">
        <v>2629</v>
      </c>
      <c r="M9" s="206">
        <v>2629</v>
      </c>
      <c r="N9" s="206">
        <v>2629</v>
      </c>
      <c r="O9" s="206">
        <f>Össz.önkor.mérleg.!E13</f>
        <v>31548</v>
      </c>
      <c r="P9" s="30"/>
    </row>
    <row r="10" spans="1:33" s="27" customFormat="1" ht="15.75" customHeight="1" x14ac:dyDescent="0.25">
      <c r="A10" s="19" t="s">
        <v>518</v>
      </c>
      <c r="B10" s="27" t="s">
        <v>479</v>
      </c>
      <c r="C10" s="206">
        <f>O10/12</f>
        <v>102943.33333333333</v>
      </c>
      <c r="D10" s="206">
        <v>102947</v>
      </c>
      <c r="E10" s="206">
        <v>102943</v>
      </c>
      <c r="F10" s="206">
        <v>102943</v>
      </c>
      <c r="G10" s="206">
        <v>102943</v>
      </c>
      <c r="H10" s="206">
        <v>102943</v>
      </c>
      <c r="I10" s="206">
        <v>102943</v>
      </c>
      <c r="J10" s="206">
        <v>102943</v>
      </c>
      <c r="K10" s="206">
        <v>102943</v>
      </c>
      <c r="L10" s="206">
        <v>102943</v>
      </c>
      <c r="M10" s="206">
        <v>102943</v>
      </c>
      <c r="N10" s="206">
        <v>102943</v>
      </c>
      <c r="O10" s="206">
        <f>Össz.önkor.mérleg.!E16</f>
        <v>1235320</v>
      </c>
      <c r="P10" s="30"/>
    </row>
    <row r="11" spans="1:33" s="28" customFormat="1" ht="18" customHeight="1" x14ac:dyDescent="0.25">
      <c r="A11" s="19" t="s">
        <v>519</v>
      </c>
      <c r="B11" s="28" t="s">
        <v>683</v>
      </c>
      <c r="C11" s="206">
        <f>O11/12</f>
        <v>29806.333333333332</v>
      </c>
      <c r="D11" s="206">
        <v>29601</v>
      </c>
      <c r="E11" s="206">
        <v>29605</v>
      </c>
      <c r="F11" s="206">
        <v>29605</v>
      </c>
      <c r="G11" s="206">
        <v>29605</v>
      </c>
      <c r="H11" s="206">
        <v>29605</v>
      </c>
      <c r="I11" s="206">
        <v>29605</v>
      </c>
      <c r="J11" s="206">
        <v>29605</v>
      </c>
      <c r="K11" s="206">
        <v>29605</v>
      </c>
      <c r="L11" s="206">
        <v>29605</v>
      </c>
      <c r="M11" s="206">
        <v>29605</v>
      </c>
      <c r="N11" s="206">
        <v>29605</v>
      </c>
      <c r="O11" s="206">
        <f>Össz.önkor.mérleg.!E19</f>
        <v>357676</v>
      </c>
      <c r="P11" s="30"/>
    </row>
    <row r="12" spans="1:33" s="27" customFormat="1" ht="13.5" customHeight="1" x14ac:dyDescent="0.25">
      <c r="A12" s="19" t="s">
        <v>520</v>
      </c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>
        <f t="shared" ref="O12:O18" si="0">SUM(C12:N12)</f>
        <v>0</v>
      </c>
      <c r="P12" s="30"/>
    </row>
    <row r="13" spans="1:33" s="27" customFormat="1" ht="15" customHeight="1" x14ac:dyDescent="0.25">
      <c r="A13" s="19" t="s">
        <v>521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>
        <f t="shared" si="0"/>
        <v>0</v>
      </c>
      <c r="P13" s="30"/>
    </row>
    <row r="14" spans="1:33" s="29" customFormat="1" ht="15.75" customHeight="1" x14ac:dyDescent="0.25">
      <c r="A14" s="19" t="s">
        <v>522</v>
      </c>
      <c r="B14" s="631" t="s">
        <v>658</v>
      </c>
      <c r="C14" s="632">
        <f>SUM(C8:C13)</f>
        <v>203419.75</v>
      </c>
      <c r="D14" s="632">
        <f>SUM(D8:D12)</f>
        <v>200978</v>
      </c>
      <c r="E14" s="632">
        <f>SUM(E8:E12)</f>
        <v>200973</v>
      </c>
      <c r="F14" s="632">
        <f>SUM(F8:F13)</f>
        <v>200973</v>
      </c>
      <c r="G14" s="632">
        <f>SUM(G8:G13)</f>
        <v>200973</v>
      </c>
      <c r="H14" s="632">
        <f t="shared" ref="H14:N14" si="1">SUM(H8:H12)</f>
        <v>200973</v>
      </c>
      <c r="I14" s="632">
        <f t="shared" si="1"/>
        <v>200973</v>
      </c>
      <c r="J14" s="632">
        <f t="shared" si="1"/>
        <v>200973</v>
      </c>
      <c r="K14" s="632">
        <f t="shared" si="1"/>
        <v>200973</v>
      </c>
      <c r="L14" s="632">
        <f t="shared" si="1"/>
        <v>200973</v>
      </c>
      <c r="M14" s="632">
        <f t="shared" si="1"/>
        <v>200973</v>
      </c>
      <c r="N14" s="632">
        <f t="shared" si="1"/>
        <v>200973</v>
      </c>
      <c r="O14" s="633">
        <f>SUM(O8:O13)</f>
        <v>2441037</v>
      </c>
      <c r="P14" s="31"/>
    </row>
    <row r="15" spans="1:33" s="27" customFormat="1" ht="15.75" customHeight="1" x14ac:dyDescent="0.25">
      <c r="A15" s="19" t="s">
        <v>523</v>
      </c>
      <c r="B15" s="27" t="s">
        <v>684</v>
      </c>
      <c r="C15" s="206"/>
      <c r="D15" s="206"/>
      <c r="E15" s="206"/>
      <c r="F15" s="206"/>
      <c r="G15" s="634"/>
      <c r="H15" s="634"/>
      <c r="I15" s="634"/>
      <c r="J15" s="634"/>
      <c r="K15" s="634"/>
      <c r="L15" s="634"/>
      <c r="M15" s="634"/>
      <c r="N15" s="634"/>
      <c r="O15" s="208">
        <f>Össz.önkor.mérleg.!E23</f>
        <v>0</v>
      </c>
      <c r="P15" s="30"/>
    </row>
    <row r="16" spans="1:33" s="27" customFormat="1" ht="15" customHeight="1" x14ac:dyDescent="0.25">
      <c r="A16" s="19" t="s">
        <v>565</v>
      </c>
      <c r="B16" s="27" t="s">
        <v>685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8">
        <v>0</v>
      </c>
      <c r="P16" s="30"/>
    </row>
    <row r="17" spans="1:256" s="27" customFormat="1" ht="16.5" customHeight="1" x14ac:dyDescent="0.25">
      <c r="A17" s="19" t="s">
        <v>566</v>
      </c>
      <c r="B17" s="27" t="s">
        <v>600</v>
      </c>
      <c r="C17" s="206">
        <f>O17/12</f>
        <v>239.16666666666666</v>
      </c>
      <c r="D17" s="206">
        <v>241</v>
      </c>
      <c r="E17" s="206">
        <v>239</v>
      </c>
      <c r="F17" s="206">
        <v>239</v>
      </c>
      <c r="G17" s="206">
        <v>239</v>
      </c>
      <c r="H17" s="206">
        <v>239</v>
      </c>
      <c r="I17" s="206">
        <v>239</v>
      </c>
      <c r="J17" s="206">
        <v>239</v>
      </c>
      <c r="K17" s="206">
        <v>239</v>
      </c>
      <c r="L17" s="206">
        <v>239</v>
      </c>
      <c r="M17" s="206">
        <v>239</v>
      </c>
      <c r="N17" s="206">
        <v>239</v>
      </c>
      <c r="O17" s="208">
        <f>Össz.önkor.mérleg.!E29</f>
        <v>2870</v>
      </c>
      <c r="P17" s="30"/>
    </row>
    <row r="18" spans="1:256" s="28" customFormat="1" ht="15" customHeight="1" x14ac:dyDescent="0.25">
      <c r="A18" s="19" t="s">
        <v>567</v>
      </c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8">
        <f t="shared" si="0"/>
        <v>0</v>
      </c>
      <c r="P18" s="30"/>
    </row>
    <row r="19" spans="1:256" s="33" customFormat="1" ht="16.5" customHeight="1" x14ac:dyDescent="0.25">
      <c r="A19" s="19" t="s">
        <v>568</v>
      </c>
      <c r="B19" s="680" t="s">
        <v>659</v>
      </c>
      <c r="C19" s="681">
        <f>SUM(C15:C18)</f>
        <v>239.16666666666666</v>
      </c>
      <c r="D19" s="681">
        <f>SUM(D15:D18)</f>
        <v>241</v>
      </c>
      <c r="E19" s="681">
        <f>SUM(E15:E18)</f>
        <v>239</v>
      </c>
      <c r="F19" s="681">
        <f t="shared" ref="F19:M19" si="2">SUM(F15:F18)</f>
        <v>239</v>
      </c>
      <c r="G19" s="681">
        <f t="shared" si="2"/>
        <v>239</v>
      </c>
      <c r="H19" s="681">
        <f t="shared" si="2"/>
        <v>239</v>
      </c>
      <c r="I19" s="681">
        <f t="shared" si="2"/>
        <v>239</v>
      </c>
      <c r="J19" s="681">
        <f t="shared" si="2"/>
        <v>239</v>
      </c>
      <c r="K19" s="681">
        <f t="shared" si="2"/>
        <v>239</v>
      </c>
      <c r="L19" s="681">
        <f t="shared" si="2"/>
        <v>239</v>
      </c>
      <c r="M19" s="681">
        <f t="shared" si="2"/>
        <v>239</v>
      </c>
      <c r="N19" s="681">
        <f>SUM(N15:N18)</f>
        <v>239</v>
      </c>
      <c r="O19" s="682">
        <f>SUM(O15:O18)</f>
        <v>2870</v>
      </c>
      <c r="P19" s="32"/>
    </row>
    <row r="20" spans="1:256" s="29" customFormat="1" ht="16.5" customHeight="1" x14ac:dyDescent="0.25">
      <c r="A20" s="19" t="s">
        <v>569</v>
      </c>
      <c r="B20" s="33" t="s">
        <v>686</v>
      </c>
      <c r="C20" s="209"/>
      <c r="D20" s="209"/>
      <c r="E20" s="209"/>
      <c r="F20" s="209"/>
      <c r="G20" s="209"/>
      <c r="H20" s="207"/>
      <c r="I20" s="207"/>
      <c r="J20" s="207"/>
      <c r="K20" s="207"/>
      <c r="L20" s="207"/>
      <c r="M20" s="207"/>
      <c r="N20" s="207"/>
      <c r="O20" s="208">
        <f>SUM(C20:N20)</f>
        <v>0</v>
      </c>
      <c r="P20" s="31"/>
    </row>
    <row r="21" spans="1:256" s="27" customFormat="1" ht="15.75" customHeight="1" x14ac:dyDescent="0.25">
      <c r="A21" s="19" t="s">
        <v>570</v>
      </c>
      <c r="B21" s="28" t="s">
        <v>489</v>
      </c>
      <c r="C21" s="207">
        <f>O21/12</f>
        <v>216439.58333333334</v>
      </c>
      <c r="D21" s="207">
        <v>197609</v>
      </c>
      <c r="E21" s="207">
        <v>197615</v>
      </c>
      <c r="F21" s="207">
        <v>197615</v>
      </c>
      <c r="G21" s="207">
        <v>197615</v>
      </c>
      <c r="H21" s="207">
        <v>197615</v>
      </c>
      <c r="I21" s="207">
        <v>197615</v>
      </c>
      <c r="J21" s="207">
        <v>197615</v>
      </c>
      <c r="K21" s="207">
        <v>197615</v>
      </c>
      <c r="L21" s="207">
        <v>197615</v>
      </c>
      <c r="M21" s="207">
        <v>197615</v>
      </c>
      <c r="N21" s="207">
        <v>197615</v>
      </c>
      <c r="O21" s="208">
        <f>Össz.önkor.mérleg.!E52</f>
        <v>2597275</v>
      </c>
      <c r="P21" s="30"/>
    </row>
    <row r="22" spans="1:256" s="29" customFormat="1" ht="16.5" customHeight="1" x14ac:dyDescent="0.25">
      <c r="A22" s="19" t="s">
        <v>571</v>
      </c>
      <c r="B22" s="635" t="s">
        <v>660</v>
      </c>
      <c r="C22" s="636">
        <f t="shared" ref="C22:N22" si="3">C19+C14+C20+C21</f>
        <v>420098.5</v>
      </c>
      <c r="D22" s="636">
        <f t="shared" si="3"/>
        <v>398828</v>
      </c>
      <c r="E22" s="636">
        <f t="shared" si="3"/>
        <v>398827</v>
      </c>
      <c r="F22" s="636">
        <f t="shared" si="3"/>
        <v>398827</v>
      </c>
      <c r="G22" s="636">
        <f t="shared" si="3"/>
        <v>398827</v>
      </c>
      <c r="H22" s="636">
        <f t="shared" si="3"/>
        <v>398827</v>
      </c>
      <c r="I22" s="636">
        <f t="shared" si="3"/>
        <v>398827</v>
      </c>
      <c r="J22" s="636">
        <f t="shared" si="3"/>
        <v>398827</v>
      </c>
      <c r="K22" s="636">
        <f t="shared" si="3"/>
        <v>398827</v>
      </c>
      <c r="L22" s="636">
        <f t="shared" si="3"/>
        <v>398827</v>
      </c>
      <c r="M22" s="636">
        <f t="shared" si="3"/>
        <v>398827</v>
      </c>
      <c r="N22" s="636">
        <f t="shared" si="3"/>
        <v>398827</v>
      </c>
      <c r="O22" s="637">
        <f>O14+O21+O19</f>
        <v>5041182</v>
      </c>
      <c r="P22" s="31"/>
    </row>
    <row r="23" spans="1:256" s="13" customFormat="1" ht="15" customHeight="1" x14ac:dyDescent="0.25">
      <c r="A23" s="19" t="s">
        <v>572</v>
      </c>
      <c r="B23" s="29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</row>
    <row r="24" spans="1:256" s="29" customFormat="1" ht="12.75" customHeight="1" x14ac:dyDescent="0.25">
      <c r="A24" s="19" t="s">
        <v>574</v>
      </c>
      <c r="B24" s="29" t="s">
        <v>65</v>
      </c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</row>
    <row r="25" spans="1:256" s="27" customFormat="1" ht="15.75" customHeight="1" x14ac:dyDescent="0.25">
      <c r="A25" s="19" t="s">
        <v>575</v>
      </c>
      <c r="B25" s="27" t="s">
        <v>490</v>
      </c>
      <c r="C25" s="206">
        <f t="shared" ref="C25:C32" si="4">O25/12</f>
        <v>75983.416666666672</v>
      </c>
      <c r="D25" s="206">
        <v>75820</v>
      </c>
      <c r="E25" s="206">
        <v>75817</v>
      </c>
      <c r="F25" s="206">
        <v>75817</v>
      </c>
      <c r="G25" s="206">
        <v>75817</v>
      </c>
      <c r="H25" s="206">
        <v>75817</v>
      </c>
      <c r="I25" s="206">
        <v>75817</v>
      </c>
      <c r="J25" s="206">
        <v>75817</v>
      </c>
      <c r="K25" s="206">
        <v>75817</v>
      </c>
      <c r="L25" s="206">
        <v>75817</v>
      </c>
      <c r="M25" s="206">
        <v>75817</v>
      </c>
      <c r="N25" s="206">
        <v>75817</v>
      </c>
      <c r="O25" s="208">
        <f>Össz.önkor.mérleg.!N10</f>
        <v>911801</v>
      </c>
      <c r="P25" s="30"/>
    </row>
    <row r="26" spans="1:256" s="27" customFormat="1" ht="17.25" customHeight="1" x14ac:dyDescent="0.25">
      <c r="A26" s="19" t="s">
        <v>576</v>
      </c>
      <c r="B26" s="27" t="s">
        <v>491</v>
      </c>
      <c r="C26" s="206">
        <f t="shared" si="4"/>
        <v>17512.11</v>
      </c>
      <c r="D26" s="206">
        <v>17473</v>
      </c>
      <c r="E26" s="206">
        <v>17479</v>
      </c>
      <c r="F26" s="206">
        <v>17479</v>
      </c>
      <c r="G26" s="206">
        <v>17479</v>
      </c>
      <c r="H26" s="206">
        <v>17479</v>
      </c>
      <c r="I26" s="206">
        <v>17479</v>
      </c>
      <c r="J26" s="206">
        <v>17479</v>
      </c>
      <c r="K26" s="206">
        <v>17479</v>
      </c>
      <c r="L26" s="206">
        <v>17479</v>
      </c>
      <c r="M26" s="206">
        <v>17479</v>
      </c>
      <c r="N26" s="206">
        <v>17479</v>
      </c>
      <c r="O26" s="208">
        <f>Össz.önkor.mérleg.!N11</f>
        <v>210145.32</v>
      </c>
      <c r="P26" s="30"/>
    </row>
    <row r="27" spans="1:256" s="27" customFormat="1" ht="13.5" customHeight="1" x14ac:dyDescent="0.25">
      <c r="A27" s="19" t="s">
        <v>577</v>
      </c>
      <c r="B27" s="27" t="s">
        <v>492</v>
      </c>
      <c r="C27" s="206">
        <f t="shared" si="4"/>
        <v>85745.166666666672</v>
      </c>
      <c r="D27" s="206">
        <v>78841</v>
      </c>
      <c r="E27" s="206">
        <v>78839</v>
      </c>
      <c r="F27" s="206">
        <v>78839</v>
      </c>
      <c r="G27" s="206">
        <v>78839</v>
      </c>
      <c r="H27" s="206">
        <v>78839</v>
      </c>
      <c r="I27" s="206">
        <v>78839</v>
      </c>
      <c r="J27" s="206">
        <v>78839</v>
      </c>
      <c r="K27" s="206">
        <v>78839</v>
      </c>
      <c r="L27" s="206">
        <v>78839</v>
      </c>
      <c r="M27" s="206">
        <v>78839</v>
      </c>
      <c r="N27" s="206">
        <v>78839</v>
      </c>
      <c r="O27" s="208">
        <f>Össz.önkor.mérleg.!N12</f>
        <v>1028942</v>
      </c>
      <c r="P27" s="30"/>
    </row>
    <row r="28" spans="1:256" s="27" customFormat="1" ht="15" customHeight="1" x14ac:dyDescent="0.25">
      <c r="A28" s="19" t="s">
        <v>578</v>
      </c>
      <c r="B28" s="27" t="s">
        <v>661</v>
      </c>
      <c r="C28" s="206">
        <f t="shared" si="4"/>
        <v>1175</v>
      </c>
      <c r="D28" s="206">
        <v>1175</v>
      </c>
      <c r="E28" s="206">
        <v>1175</v>
      </c>
      <c r="F28" s="206">
        <v>1175</v>
      </c>
      <c r="G28" s="206">
        <v>1175</v>
      </c>
      <c r="H28" s="206">
        <v>1175</v>
      </c>
      <c r="I28" s="206">
        <v>1175</v>
      </c>
      <c r="J28" s="206">
        <v>1175</v>
      </c>
      <c r="K28" s="206">
        <v>1175</v>
      </c>
      <c r="L28" s="206">
        <v>1175</v>
      </c>
      <c r="M28" s="206">
        <v>1175</v>
      </c>
      <c r="N28" s="206">
        <v>1175</v>
      </c>
      <c r="O28" s="208">
        <f>Össz.önkor.mérleg.!N14</f>
        <v>14100</v>
      </c>
      <c r="P28" s="30"/>
      <c r="IV28" s="30"/>
    </row>
    <row r="29" spans="1:256" s="27" customFormat="1" ht="15" customHeight="1" x14ac:dyDescent="0.25">
      <c r="A29" s="19" t="s">
        <v>579</v>
      </c>
      <c r="B29" s="27" t="s">
        <v>283</v>
      </c>
      <c r="C29" s="206">
        <v>38</v>
      </c>
      <c r="D29" s="206">
        <v>33</v>
      </c>
      <c r="E29" s="206">
        <v>38</v>
      </c>
      <c r="F29" s="206">
        <v>38</v>
      </c>
      <c r="G29" s="206">
        <v>38</v>
      </c>
      <c r="H29" s="206">
        <v>38</v>
      </c>
      <c r="I29" s="206">
        <v>38</v>
      </c>
      <c r="J29" s="206">
        <v>38</v>
      </c>
      <c r="K29" s="206">
        <v>38</v>
      </c>
      <c r="L29" s="206">
        <v>38</v>
      </c>
      <c r="M29" s="206">
        <v>38</v>
      </c>
      <c r="N29" s="206">
        <v>38</v>
      </c>
      <c r="O29" s="208">
        <f>Össz.önkor.mérleg.!N18</f>
        <v>451</v>
      </c>
      <c r="P29" s="30"/>
    </row>
    <row r="30" spans="1:256" s="27" customFormat="1" ht="12.75" customHeight="1" x14ac:dyDescent="0.25">
      <c r="A30" s="19" t="s">
        <v>580</v>
      </c>
      <c r="B30" s="27" t="s">
        <v>493</v>
      </c>
      <c r="C30" s="206">
        <v>3993</v>
      </c>
      <c r="D30" s="206">
        <v>3989</v>
      </c>
      <c r="E30" s="206">
        <v>3993</v>
      </c>
      <c r="F30" s="206">
        <v>3993</v>
      </c>
      <c r="G30" s="206">
        <v>3993</v>
      </c>
      <c r="H30" s="206">
        <v>3993</v>
      </c>
      <c r="I30" s="206">
        <v>3993</v>
      </c>
      <c r="J30" s="206">
        <v>3993</v>
      </c>
      <c r="K30" s="206">
        <v>3993</v>
      </c>
      <c r="L30" s="206">
        <v>3993</v>
      </c>
      <c r="M30" s="206">
        <v>3993</v>
      </c>
      <c r="N30" s="206">
        <v>3993</v>
      </c>
      <c r="O30" s="208">
        <f>Össz.önkor.mérleg.!N16</f>
        <v>47912</v>
      </c>
      <c r="P30" s="30"/>
    </row>
    <row r="31" spans="1:256" s="27" customFormat="1" ht="15.75" customHeight="1" x14ac:dyDescent="0.25">
      <c r="A31" s="19" t="s">
        <v>581</v>
      </c>
      <c r="B31" s="27" t="s">
        <v>494</v>
      </c>
      <c r="C31" s="206">
        <f t="shared" si="4"/>
        <v>23841.083333333332</v>
      </c>
      <c r="D31" s="206">
        <v>22360</v>
      </c>
      <c r="E31" s="206">
        <v>22360</v>
      </c>
      <c r="F31" s="206">
        <v>22360</v>
      </c>
      <c r="G31" s="206">
        <v>22360</v>
      </c>
      <c r="H31" s="206">
        <v>22360</v>
      </c>
      <c r="I31" s="206">
        <v>22360</v>
      </c>
      <c r="J31" s="206">
        <v>22360</v>
      </c>
      <c r="K31" s="206">
        <v>22360</v>
      </c>
      <c r="L31" s="206">
        <v>22360</v>
      </c>
      <c r="M31" s="206">
        <v>22360</v>
      </c>
      <c r="N31" s="206">
        <v>22360</v>
      </c>
      <c r="O31" s="208">
        <f>Össz.önkor.mérleg.!N17</f>
        <v>286093</v>
      </c>
      <c r="P31" s="30"/>
    </row>
    <row r="32" spans="1:256" s="27" customFormat="1" ht="15" customHeight="1" x14ac:dyDescent="0.25">
      <c r="A32" s="19" t="s">
        <v>601</v>
      </c>
      <c r="B32" s="27" t="s">
        <v>690</v>
      </c>
      <c r="C32" s="206">
        <f t="shared" si="4"/>
        <v>7090.666666666667</v>
      </c>
      <c r="D32" s="206">
        <v>7087</v>
      </c>
      <c r="E32" s="206">
        <v>7091</v>
      </c>
      <c r="F32" s="206">
        <v>7091</v>
      </c>
      <c r="G32" s="206">
        <v>7091</v>
      </c>
      <c r="H32" s="206">
        <v>7091</v>
      </c>
      <c r="I32" s="206">
        <v>7091</v>
      </c>
      <c r="J32" s="206">
        <v>7091</v>
      </c>
      <c r="K32" s="206">
        <v>7091</v>
      </c>
      <c r="L32" s="206">
        <v>7091</v>
      </c>
      <c r="M32" s="206">
        <v>7091</v>
      </c>
      <c r="N32" s="206">
        <v>7091</v>
      </c>
      <c r="O32" s="208">
        <f>Össz.önkor.mérleg.!N19+Össz.önkor.mérleg.!N20</f>
        <v>85088</v>
      </c>
      <c r="P32" s="30"/>
    </row>
    <row r="33" spans="1:16" s="28" customFormat="1" ht="15.75" customHeight="1" x14ac:dyDescent="0.25">
      <c r="A33" s="19" t="s">
        <v>602</v>
      </c>
      <c r="B33" s="683" t="s">
        <v>662</v>
      </c>
      <c r="C33" s="681">
        <f>SUM(C25:C32)</f>
        <v>215378.44333333336</v>
      </c>
      <c r="D33" s="681">
        <f>SUM(D25:D32)</f>
        <v>206778</v>
      </c>
      <c r="E33" s="681">
        <f t="shared" ref="E33:N33" si="5">SUM(E25:E32)</f>
        <v>206792</v>
      </c>
      <c r="F33" s="681">
        <f t="shared" si="5"/>
        <v>206792</v>
      </c>
      <c r="G33" s="681">
        <f t="shared" si="5"/>
        <v>206792</v>
      </c>
      <c r="H33" s="681">
        <f t="shared" si="5"/>
        <v>206792</v>
      </c>
      <c r="I33" s="681">
        <f t="shared" si="5"/>
        <v>206792</v>
      </c>
      <c r="J33" s="681">
        <f t="shared" si="5"/>
        <v>206792</v>
      </c>
      <c r="K33" s="681">
        <f t="shared" si="5"/>
        <v>206792</v>
      </c>
      <c r="L33" s="681">
        <f t="shared" si="5"/>
        <v>206792</v>
      </c>
      <c r="M33" s="681">
        <f t="shared" si="5"/>
        <v>206792</v>
      </c>
      <c r="N33" s="681">
        <f t="shared" si="5"/>
        <v>206792</v>
      </c>
      <c r="O33" s="682">
        <f>SUM(O25:O32)</f>
        <v>2584532.3200000003</v>
      </c>
      <c r="P33" s="489"/>
    </row>
    <row r="34" spans="1:16" s="28" customFormat="1" ht="15" customHeight="1" x14ac:dyDescent="0.25">
      <c r="A34" s="19" t="s">
        <v>603</v>
      </c>
      <c r="B34" s="28" t="s">
        <v>663</v>
      </c>
      <c r="C34" s="207">
        <f t="shared" ref="C34:C39" si="6">O34/12</f>
        <v>173443</v>
      </c>
      <c r="D34" s="207">
        <v>167754</v>
      </c>
      <c r="E34" s="207">
        <v>167757</v>
      </c>
      <c r="F34" s="207">
        <v>167757</v>
      </c>
      <c r="G34" s="207">
        <v>167757</v>
      </c>
      <c r="H34" s="207">
        <v>167757</v>
      </c>
      <c r="I34" s="207">
        <v>167757</v>
      </c>
      <c r="J34" s="207">
        <v>167757</v>
      </c>
      <c r="K34" s="207">
        <v>167757</v>
      </c>
      <c r="L34" s="207">
        <v>167757</v>
      </c>
      <c r="M34" s="207">
        <v>167757</v>
      </c>
      <c r="N34" s="207">
        <v>167757</v>
      </c>
      <c r="O34" s="209">
        <f>Össz.önkor.mérleg.!N26</f>
        <v>2081316</v>
      </c>
      <c r="P34" s="489"/>
    </row>
    <row r="35" spans="1:16" s="28" customFormat="1" ht="15" customHeight="1" x14ac:dyDescent="0.25">
      <c r="A35" s="19" t="s">
        <v>604</v>
      </c>
      <c r="B35" s="28" t="s">
        <v>512</v>
      </c>
      <c r="C35" s="207">
        <f t="shared" si="6"/>
        <v>833.33333333333337</v>
      </c>
      <c r="D35" s="207">
        <v>837</v>
      </c>
      <c r="E35" s="207">
        <v>833</v>
      </c>
      <c r="F35" s="207">
        <v>833</v>
      </c>
      <c r="G35" s="207">
        <v>833</v>
      </c>
      <c r="H35" s="207">
        <v>833</v>
      </c>
      <c r="I35" s="207">
        <v>833</v>
      </c>
      <c r="J35" s="207">
        <v>833</v>
      </c>
      <c r="K35" s="207">
        <v>833</v>
      </c>
      <c r="L35" s="207">
        <v>833</v>
      </c>
      <c r="M35" s="207">
        <v>833</v>
      </c>
      <c r="N35" s="207">
        <v>833</v>
      </c>
      <c r="O35" s="209">
        <f>Össz.önkor.mérleg.!N27</f>
        <v>10000</v>
      </c>
      <c r="P35" s="489"/>
    </row>
    <row r="36" spans="1:16" s="28" customFormat="1" ht="15.75" customHeight="1" x14ac:dyDescent="0.25">
      <c r="A36" s="19" t="s">
        <v>605</v>
      </c>
      <c r="B36" s="28" t="s">
        <v>495</v>
      </c>
      <c r="C36" s="207">
        <f t="shared" si="6"/>
        <v>0</v>
      </c>
      <c r="D36" s="207">
        <v>0</v>
      </c>
      <c r="E36" s="207">
        <v>0</v>
      </c>
      <c r="F36" s="207">
        <v>0</v>
      </c>
      <c r="G36" s="207">
        <v>0</v>
      </c>
      <c r="H36" s="207">
        <v>0</v>
      </c>
      <c r="I36" s="207">
        <v>0</v>
      </c>
      <c r="J36" s="207">
        <v>0</v>
      </c>
      <c r="K36" s="207">
        <v>0</v>
      </c>
      <c r="L36" s="207">
        <v>0</v>
      </c>
      <c r="M36" s="207">
        <v>0</v>
      </c>
      <c r="N36" s="207">
        <v>0</v>
      </c>
      <c r="O36" s="209">
        <f>Össz.önkor.mérleg.!N28</f>
        <v>0</v>
      </c>
    </row>
    <row r="37" spans="1:16" s="28" customFormat="1" ht="15.75" customHeight="1" x14ac:dyDescent="0.25">
      <c r="A37" s="19" t="s">
        <v>606</v>
      </c>
      <c r="B37" s="27" t="s">
        <v>688</v>
      </c>
      <c r="C37" s="207">
        <f t="shared" si="6"/>
        <v>0</v>
      </c>
      <c r="D37" s="207">
        <v>0</v>
      </c>
      <c r="E37" s="207">
        <v>0</v>
      </c>
      <c r="F37" s="207">
        <v>0</v>
      </c>
      <c r="G37" s="207">
        <v>0</v>
      </c>
      <c r="H37" s="207">
        <v>0</v>
      </c>
      <c r="I37" s="207">
        <v>0</v>
      </c>
      <c r="J37" s="207">
        <v>0</v>
      </c>
      <c r="K37" s="207">
        <v>0</v>
      </c>
      <c r="L37" s="207">
        <v>0</v>
      </c>
      <c r="M37" s="207">
        <v>0</v>
      </c>
      <c r="N37" s="207">
        <v>0</v>
      </c>
      <c r="O37" s="209">
        <f>Össz.önkor.mérleg.!N29</f>
        <v>0</v>
      </c>
    </row>
    <row r="38" spans="1:16" s="28" customFormat="1" ht="16.5" customHeight="1" x14ac:dyDescent="0.25">
      <c r="A38" s="19" t="s">
        <v>607</v>
      </c>
      <c r="B38" s="27" t="s">
        <v>689</v>
      </c>
      <c r="C38" s="207">
        <f t="shared" si="6"/>
        <v>5731</v>
      </c>
      <c r="D38" s="207">
        <v>8272</v>
      </c>
      <c r="E38" s="207">
        <v>8276</v>
      </c>
      <c r="F38" s="207">
        <v>8276</v>
      </c>
      <c r="G38" s="207">
        <v>8276</v>
      </c>
      <c r="H38" s="207">
        <v>8276</v>
      </c>
      <c r="I38" s="207">
        <v>8276</v>
      </c>
      <c r="J38" s="207">
        <v>8276</v>
      </c>
      <c r="K38" s="207">
        <v>8276</v>
      </c>
      <c r="L38" s="207">
        <v>8276</v>
      </c>
      <c r="M38" s="207">
        <v>8276</v>
      </c>
      <c r="N38" s="207">
        <v>8276</v>
      </c>
      <c r="O38" s="209">
        <f>Össz.önkor.mérleg.!N30</f>
        <v>68772</v>
      </c>
      <c r="P38" s="489"/>
    </row>
    <row r="39" spans="1:16" s="28" customFormat="1" ht="15" customHeight="1" x14ac:dyDescent="0.25">
      <c r="A39" s="19" t="s">
        <v>608</v>
      </c>
      <c r="B39" s="27" t="s">
        <v>691</v>
      </c>
      <c r="C39" s="207">
        <f t="shared" si="6"/>
        <v>22093.166666666668</v>
      </c>
      <c r="D39" s="207">
        <v>12915</v>
      </c>
      <c r="E39" s="207">
        <v>12913</v>
      </c>
      <c r="F39" s="207">
        <v>12913</v>
      </c>
      <c r="G39" s="207">
        <v>12913</v>
      </c>
      <c r="H39" s="207">
        <v>12913</v>
      </c>
      <c r="I39" s="207">
        <v>12913</v>
      </c>
      <c r="J39" s="207">
        <v>12913</v>
      </c>
      <c r="K39" s="207">
        <v>12913</v>
      </c>
      <c r="L39" s="207">
        <v>12913</v>
      </c>
      <c r="M39" s="207">
        <v>12913</v>
      </c>
      <c r="N39" s="207">
        <v>12913</v>
      </c>
      <c r="O39" s="209">
        <f>Össz.önkor.mérleg.!N31</f>
        <v>265118</v>
      </c>
      <c r="P39" s="489"/>
    </row>
    <row r="40" spans="1:16" s="33" customFormat="1" ht="15" customHeight="1" x14ac:dyDescent="0.25">
      <c r="A40" s="19" t="s">
        <v>609</v>
      </c>
      <c r="B40" s="631" t="s">
        <v>692</v>
      </c>
      <c r="C40" s="632">
        <f t="shared" ref="C40:O40" si="7">SUM(C34:C39)</f>
        <v>202100.5</v>
      </c>
      <c r="D40" s="632">
        <f t="shared" si="7"/>
        <v>189778</v>
      </c>
      <c r="E40" s="632">
        <f t="shared" si="7"/>
        <v>189779</v>
      </c>
      <c r="F40" s="632">
        <f t="shared" si="7"/>
        <v>189779</v>
      </c>
      <c r="G40" s="632">
        <f t="shared" si="7"/>
        <v>189779</v>
      </c>
      <c r="H40" s="632">
        <f t="shared" si="7"/>
        <v>189779</v>
      </c>
      <c r="I40" s="632">
        <f t="shared" si="7"/>
        <v>189779</v>
      </c>
      <c r="J40" s="632">
        <f t="shared" si="7"/>
        <v>189779</v>
      </c>
      <c r="K40" s="632">
        <f t="shared" si="7"/>
        <v>189779</v>
      </c>
      <c r="L40" s="632">
        <f t="shared" si="7"/>
        <v>189779</v>
      </c>
      <c r="M40" s="632">
        <f t="shared" si="7"/>
        <v>189779</v>
      </c>
      <c r="N40" s="632">
        <f t="shared" si="7"/>
        <v>189779</v>
      </c>
      <c r="O40" s="632">
        <f t="shared" si="7"/>
        <v>2425206</v>
      </c>
      <c r="P40" s="32"/>
    </row>
    <row r="41" spans="1:16" s="33" customFormat="1" ht="15" customHeight="1" x14ac:dyDescent="0.25">
      <c r="A41" s="19" t="s">
        <v>664</v>
      </c>
      <c r="B41" s="677" t="s">
        <v>1168</v>
      </c>
      <c r="C41" s="678">
        <f>O41/12</f>
        <v>2620.3333333333335</v>
      </c>
      <c r="D41" s="678">
        <v>2261</v>
      </c>
      <c r="E41" s="678">
        <v>2257</v>
      </c>
      <c r="F41" s="678">
        <v>2257</v>
      </c>
      <c r="G41" s="678">
        <v>2257</v>
      </c>
      <c r="H41" s="678">
        <v>2257</v>
      </c>
      <c r="I41" s="678">
        <v>2257</v>
      </c>
      <c r="J41" s="678">
        <v>2257</v>
      </c>
      <c r="K41" s="678">
        <v>2257</v>
      </c>
      <c r="L41" s="678">
        <v>2257</v>
      </c>
      <c r="M41" s="678">
        <v>2257</v>
      </c>
      <c r="N41" s="678">
        <v>2257</v>
      </c>
      <c r="O41" s="676">
        <f>Össz.önkor.mérleg.!N45</f>
        <v>31444</v>
      </c>
      <c r="P41" s="32"/>
    </row>
    <row r="42" spans="1:16" s="27" customFormat="1" ht="15.75" customHeight="1" x14ac:dyDescent="0.25">
      <c r="A42" s="19" t="s">
        <v>665</v>
      </c>
      <c r="B42" s="675" t="s">
        <v>1167</v>
      </c>
      <c r="C42" s="206">
        <f>SUM(C41)</f>
        <v>2620.3333333333335</v>
      </c>
      <c r="D42" s="206">
        <f>SUM(D41)</f>
        <v>2261</v>
      </c>
      <c r="E42" s="206">
        <f t="shared" ref="E42:N42" si="8">SUM(E41)</f>
        <v>2257</v>
      </c>
      <c r="F42" s="206">
        <f t="shared" si="8"/>
        <v>2257</v>
      </c>
      <c r="G42" s="206">
        <f t="shared" si="8"/>
        <v>2257</v>
      </c>
      <c r="H42" s="206">
        <f t="shared" si="8"/>
        <v>2257</v>
      </c>
      <c r="I42" s="206">
        <f t="shared" si="8"/>
        <v>2257</v>
      </c>
      <c r="J42" s="206">
        <f t="shared" si="8"/>
        <v>2257</v>
      </c>
      <c r="K42" s="206">
        <f t="shared" si="8"/>
        <v>2257</v>
      </c>
      <c r="L42" s="206">
        <f t="shared" si="8"/>
        <v>2257</v>
      </c>
      <c r="M42" s="206">
        <f t="shared" si="8"/>
        <v>2257</v>
      </c>
      <c r="N42" s="206">
        <f t="shared" si="8"/>
        <v>2257</v>
      </c>
      <c r="O42" s="208">
        <f>SUM(C42:N42)</f>
        <v>27451.333333333336</v>
      </c>
    </row>
    <row r="43" spans="1:16" s="29" customFormat="1" ht="16.5" customHeight="1" x14ac:dyDescent="0.25">
      <c r="A43" s="19" t="s">
        <v>666</v>
      </c>
      <c r="B43" s="635" t="s">
        <v>695</v>
      </c>
      <c r="C43" s="636">
        <f t="shared" ref="C43:N43" si="9">C40+C33+C42</f>
        <v>420099.27666666667</v>
      </c>
      <c r="D43" s="636">
        <f t="shared" si="9"/>
        <v>398817</v>
      </c>
      <c r="E43" s="636">
        <f t="shared" si="9"/>
        <v>398828</v>
      </c>
      <c r="F43" s="636">
        <f t="shared" si="9"/>
        <v>398828</v>
      </c>
      <c r="G43" s="636">
        <f t="shared" si="9"/>
        <v>398828</v>
      </c>
      <c r="H43" s="636">
        <f t="shared" si="9"/>
        <v>398828</v>
      </c>
      <c r="I43" s="636">
        <f t="shared" si="9"/>
        <v>398828</v>
      </c>
      <c r="J43" s="636">
        <f t="shared" si="9"/>
        <v>398828</v>
      </c>
      <c r="K43" s="636">
        <f t="shared" si="9"/>
        <v>398828</v>
      </c>
      <c r="L43" s="636">
        <f t="shared" si="9"/>
        <v>398828</v>
      </c>
      <c r="M43" s="636">
        <f t="shared" si="9"/>
        <v>398828</v>
      </c>
      <c r="N43" s="636">
        <f t="shared" si="9"/>
        <v>398828</v>
      </c>
      <c r="O43" s="637">
        <f>SUM(C43:N43)</f>
        <v>4807196.2766666664</v>
      </c>
      <c r="P43" s="31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IG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AC91" sqref="AC91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21" customWidth="1"/>
    <col min="3" max="3" width="6.42578125" style="15" customWidth="1"/>
    <col min="4" max="4" width="5" style="15" customWidth="1"/>
    <col min="5" max="5" width="5.5703125" style="15" customWidth="1"/>
    <col min="6" max="6" width="4.7109375" style="15" customWidth="1"/>
    <col min="7" max="7" width="5.42578125" style="15" customWidth="1"/>
    <col min="8" max="8" width="4" style="15" customWidth="1"/>
    <col min="9" max="9" width="5.7109375" style="15" customWidth="1"/>
    <col min="10" max="10" width="4" style="15" customWidth="1"/>
    <col min="11" max="11" width="5.7109375" style="15" customWidth="1"/>
    <col min="12" max="12" width="7.28515625" style="15" customWidth="1"/>
    <col min="13" max="13" width="6.7109375" style="15" customWidth="1"/>
    <col min="14" max="14" width="5.140625" style="15" customWidth="1"/>
    <col min="15" max="15" width="5.7109375" style="15" customWidth="1"/>
    <col min="16" max="16" width="6.7109375" style="15" customWidth="1"/>
    <col min="17" max="17" width="6.42578125" style="15" customWidth="1"/>
    <col min="18" max="18" width="6.7109375" style="15" customWidth="1"/>
    <col min="19" max="19" width="6.85546875" style="15" customWidth="1"/>
    <col min="20" max="20" width="6.5703125" style="15" customWidth="1"/>
    <col min="21" max="21" width="7.140625" style="15" customWidth="1"/>
    <col min="22" max="22" width="6" style="15" customWidth="1"/>
    <col min="23" max="23" width="7.5703125" style="15" customWidth="1"/>
    <col min="24" max="16384" width="9.140625" style="14"/>
  </cols>
  <sheetData>
    <row r="1" spans="1:24" ht="15.75" customHeight="1" x14ac:dyDescent="0.25">
      <c r="A1" s="1527" t="s">
        <v>1242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/>
      <c r="O1" s="1527"/>
      <c r="P1" s="1527"/>
      <c r="Q1" s="1527"/>
      <c r="R1" s="1527"/>
      <c r="S1" s="1527"/>
      <c r="T1" s="1527"/>
      <c r="U1" s="1527"/>
      <c r="V1" s="1527"/>
      <c r="W1" s="1527"/>
    </row>
    <row r="2" spans="1:24" ht="15.75" customHeight="1" x14ac:dyDescent="0.25">
      <c r="A2" s="1528" t="s">
        <v>54</v>
      </c>
      <c r="B2" s="1528"/>
      <c r="C2" s="1528"/>
      <c r="D2" s="1528"/>
      <c r="E2" s="1528"/>
      <c r="F2" s="1528"/>
      <c r="G2" s="1528"/>
      <c r="H2" s="1528"/>
      <c r="I2" s="1528"/>
      <c r="J2" s="1528"/>
      <c r="K2" s="1528"/>
      <c r="L2" s="1528"/>
      <c r="M2" s="1528"/>
      <c r="N2" s="1528"/>
      <c r="O2" s="1528"/>
      <c r="P2" s="1528"/>
      <c r="Q2" s="1528"/>
      <c r="R2" s="1528"/>
      <c r="S2" s="1528"/>
      <c r="T2" s="1528"/>
      <c r="U2" s="1528"/>
      <c r="V2" s="1528"/>
      <c r="W2" s="1528"/>
    </row>
    <row r="3" spans="1:24" ht="15.75" customHeight="1" x14ac:dyDescent="0.25">
      <c r="A3" s="1528" t="s">
        <v>1134</v>
      </c>
      <c r="B3" s="1528"/>
      <c r="C3" s="1528"/>
      <c r="D3" s="1528"/>
      <c r="E3" s="1528"/>
      <c r="F3" s="1528"/>
      <c r="G3" s="1528"/>
      <c r="H3" s="1528"/>
      <c r="I3" s="1528"/>
      <c r="J3" s="1528"/>
      <c r="K3" s="1528"/>
      <c r="L3" s="1528"/>
      <c r="M3" s="1528"/>
      <c r="N3" s="1528"/>
      <c r="O3" s="1528"/>
      <c r="P3" s="1528"/>
      <c r="Q3" s="1528"/>
      <c r="R3" s="1528"/>
      <c r="S3" s="1528"/>
      <c r="T3" s="1528"/>
      <c r="U3" s="1528"/>
      <c r="V3" s="1528"/>
      <c r="W3" s="1528"/>
    </row>
    <row r="4" spans="1:24" ht="15.75" customHeight="1" x14ac:dyDescent="0.25">
      <c r="B4" s="3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 t="s">
        <v>696</v>
      </c>
    </row>
    <row r="5" spans="1:24" ht="27.75" customHeight="1" x14ac:dyDescent="0.25">
      <c r="A5" s="1529" t="s">
        <v>70</v>
      </c>
      <c r="B5" s="37" t="s">
        <v>57</v>
      </c>
      <c r="C5" s="1530" t="s">
        <v>58</v>
      </c>
      <c r="D5" s="1530"/>
      <c r="E5" s="1530"/>
      <c r="F5" s="1530" t="s">
        <v>59</v>
      </c>
      <c r="G5" s="1530"/>
      <c r="H5" s="1530" t="s">
        <v>60</v>
      </c>
      <c r="I5" s="1530"/>
      <c r="J5" s="1531" t="s">
        <v>499</v>
      </c>
      <c r="K5" s="1531"/>
      <c r="L5" s="1530" t="s">
        <v>500</v>
      </c>
      <c r="M5" s="1530"/>
      <c r="N5" s="1530" t="s">
        <v>501</v>
      </c>
      <c r="O5" s="1530"/>
      <c r="P5" s="1532" t="s">
        <v>629</v>
      </c>
      <c r="Q5" s="1532"/>
      <c r="R5" s="1532"/>
      <c r="S5" s="1530" t="s">
        <v>640</v>
      </c>
      <c r="T5" s="1530"/>
      <c r="U5" s="1530" t="s">
        <v>641</v>
      </c>
      <c r="V5" s="1530"/>
      <c r="W5" s="1530"/>
    </row>
    <row r="6" spans="1:24" s="2" customFormat="1" ht="30.75" customHeight="1" x14ac:dyDescent="0.2">
      <c r="A6" s="1529"/>
      <c r="B6" s="1494" t="s">
        <v>697</v>
      </c>
      <c r="C6" s="1533" t="s">
        <v>698</v>
      </c>
      <c r="D6" s="1533"/>
      <c r="E6" s="1533"/>
      <c r="F6" s="1533"/>
      <c r="G6" s="1533"/>
      <c r="H6" s="1533" t="s">
        <v>699</v>
      </c>
      <c r="I6" s="1533"/>
      <c r="J6" s="1533"/>
      <c r="K6" s="1533"/>
      <c r="L6" s="1534" t="s">
        <v>700</v>
      </c>
      <c r="M6" s="1534"/>
      <c r="N6" s="1534"/>
      <c r="O6" s="1534"/>
      <c r="P6" s="1534" t="s">
        <v>564</v>
      </c>
      <c r="Q6" s="1534"/>
      <c r="R6" s="1534"/>
      <c r="S6" s="1534"/>
      <c r="T6" s="1534"/>
      <c r="U6" s="1361" t="s">
        <v>701</v>
      </c>
      <c r="V6" s="1361"/>
      <c r="W6" s="1361"/>
    </row>
    <row r="7" spans="1:24" s="2" customFormat="1" ht="40.5" customHeight="1" x14ac:dyDescent="0.2">
      <c r="A7" s="1529"/>
      <c r="B7" s="1494"/>
      <c r="C7" s="1535" t="s">
        <v>702</v>
      </c>
      <c r="D7" s="1535"/>
      <c r="E7" s="1535"/>
      <c r="F7" s="1352" t="s">
        <v>703</v>
      </c>
      <c r="G7" s="1352"/>
      <c r="H7" s="1535" t="s">
        <v>704</v>
      </c>
      <c r="I7" s="1535"/>
      <c r="J7" s="1535" t="s">
        <v>703</v>
      </c>
      <c r="K7" s="1535"/>
      <c r="L7" s="1536" t="s">
        <v>704</v>
      </c>
      <c r="M7" s="1536"/>
      <c r="N7" s="1535" t="s">
        <v>703</v>
      </c>
      <c r="O7" s="1535"/>
      <c r="P7" s="1536" t="s">
        <v>704</v>
      </c>
      <c r="Q7" s="1536"/>
      <c r="R7" s="1536"/>
      <c r="S7" s="1536" t="s">
        <v>705</v>
      </c>
      <c r="T7" s="1536"/>
      <c r="U7" s="1361"/>
      <c r="V7" s="1361"/>
      <c r="W7" s="1361"/>
    </row>
    <row r="8" spans="1:24" s="2" customFormat="1" ht="27" customHeight="1" x14ac:dyDescent="0.2">
      <c r="A8" s="1529"/>
      <c r="B8" s="1494"/>
      <c r="C8" s="38">
        <v>42736</v>
      </c>
      <c r="D8" s="38">
        <v>43009</v>
      </c>
      <c r="E8" s="38">
        <v>43100</v>
      </c>
      <c r="F8" s="38">
        <v>42736</v>
      </c>
      <c r="G8" s="38">
        <v>43100</v>
      </c>
      <c r="H8" s="38">
        <v>42736</v>
      </c>
      <c r="I8" s="38">
        <v>43100</v>
      </c>
      <c r="J8" s="38">
        <v>42736</v>
      </c>
      <c r="K8" s="38">
        <v>43100</v>
      </c>
      <c r="L8" s="38">
        <v>42736</v>
      </c>
      <c r="M8" s="38">
        <v>43100</v>
      </c>
      <c r="N8" s="38">
        <v>42736</v>
      </c>
      <c r="O8" s="38">
        <v>43100</v>
      </c>
      <c r="P8" s="38">
        <v>42736</v>
      </c>
      <c r="Q8" s="38">
        <v>43009</v>
      </c>
      <c r="R8" s="38">
        <v>43100</v>
      </c>
      <c r="S8" s="38">
        <v>42736</v>
      </c>
      <c r="T8" s="38">
        <v>43100</v>
      </c>
      <c r="U8" s="38">
        <v>42736</v>
      </c>
      <c r="V8" s="647">
        <v>43009</v>
      </c>
      <c r="W8" s="38">
        <v>43100</v>
      </c>
    </row>
    <row r="9" spans="1:24" s="2" customFormat="1" ht="13.9" customHeight="1" x14ac:dyDescent="0.25">
      <c r="A9" s="39"/>
      <c r="B9" s="2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</row>
    <row r="10" spans="1:24" s="2" customFormat="1" ht="13.9" customHeight="1" x14ac:dyDescent="0.25">
      <c r="A10" s="39" t="s">
        <v>508</v>
      </c>
      <c r="B10" s="41" t="s">
        <v>87</v>
      </c>
      <c r="C10" s="42" t="s">
        <v>1147</v>
      </c>
      <c r="D10" s="42" t="s">
        <v>1015</v>
      </c>
      <c r="E10" s="42" t="s">
        <v>322</v>
      </c>
      <c r="F10" s="42"/>
      <c r="G10" s="42"/>
      <c r="H10" s="42">
        <v>2</v>
      </c>
      <c r="I10" s="42" t="s">
        <v>706</v>
      </c>
      <c r="J10" s="42"/>
      <c r="K10" s="42"/>
      <c r="L10" s="42" t="s">
        <v>598</v>
      </c>
      <c r="M10" s="42" t="s">
        <v>598</v>
      </c>
      <c r="N10" s="42" t="s">
        <v>598</v>
      </c>
      <c r="O10" s="42" t="s">
        <v>598</v>
      </c>
      <c r="P10" s="671">
        <v>7</v>
      </c>
      <c r="Q10" s="42" t="s">
        <v>1015</v>
      </c>
      <c r="R10" s="42" t="s">
        <v>957</v>
      </c>
      <c r="S10" s="42" t="s">
        <v>598</v>
      </c>
      <c r="T10" s="42" t="s">
        <v>598</v>
      </c>
      <c r="U10" s="673">
        <f>C10+H10+L10</f>
        <v>7</v>
      </c>
      <c r="V10" s="650" t="str">
        <f>Q10</f>
        <v>-1</v>
      </c>
      <c r="W10" s="413">
        <f>U10+V10</f>
        <v>6</v>
      </c>
    </row>
    <row r="11" spans="1:24" s="2" customFormat="1" ht="13.9" customHeight="1" x14ac:dyDescent="0.25">
      <c r="A11" s="39"/>
      <c r="B11" s="26"/>
      <c r="C11" s="43"/>
      <c r="D11" s="43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</row>
    <row r="12" spans="1:24" s="15" customFormat="1" ht="14.45" customHeight="1" x14ac:dyDescent="0.25">
      <c r="A12" s="3" t="s">
        <v>516</v>
      </c>
      <c r="B12" s="44" t="s">
        <v>707</v>
      </c>
      <c r="C12" s="45">
        <v>3</v>
      </c>
      <c r="D12" s="45"/>
      <c r="E12" s="46">
        <f>C12+D12</f>
        <v>3</v>
      </c>
      <c r="F12" s="46"/>
      <c r="G12" s="46"/>
      <c r="H12" s="46">
        <v>36</v>
      </c>
      <c r="I12" s="46">
        <f>H12</f>
        <v>36</v>
      </c>
      <c r="J12" s="46"/>
      <c r="K12" s="46"/>
      <c r="L12" s="46">
        <v>0</v>
      </c>
      <c r="M12" s="46">
        <v>0</v>
      </c>
      <c r="N12" s="46">
        <v>0</v>
      </c>
      <c r="O12" s="46">
        <v>0</v>
      </c>
      <c r="P12" s="46">
        <f>C12+H12+L12</f>
        <v>39</v>
      </c>
      <c r="Q12" s="648"/>
      <c r="R12" s="46">
        <f>SUM(P12:Q12)</f>
        <v>39</v>
      </c>
      <c r="S12" s="46">
        <v>0</v>
      </c>
      <c r="T12" s="46">
        <v>0</v>
      </c>
      <c r="U12" s="48">
        <f>P12</f>
        <v>39</v>
      </c>
      <c r="V12" s="649">
        <f>Q12</f>
        <v>0</v>
      </c>
      <c r="W12" s="48">
        <f>U12++V12</f>
        <v>39</v>
      </c>
    </row>
    <row r="13" spans="1:24" s="15" customFormat="1" ht="14.45" customHeight="1" x14ac:dyDescent="0.25">
      <c r="A13" s="3"/>
    </row>
    <row r="14" spans="1:24" ht="15.75" customHeight="1" x14ac:dyDescent="0.25">
      <c r="A14" s="3"/>
      <c r="B14" s="49"/>
      <c r="C14" s="50"/>
      <c r="D14" s="50"/>
      <c r="E14" s="51"/>
      <c r="F14" s="51"/>
      <c r="G14" s="51"/>
      <c r="H14" s="51"/>
      <c r="I14" s="52"/>
      <c r="J14" s="52"/>
      <c r="K14" s="52"/>
      <c r="L14" s="52"/>
      <c r="M14" s="52"/>
      <c r="N14" s="52"/>
      <c r="O14" s="52"/>
      <c r="P14" s="52"/>
      <c r="Q14" s="52"/>
      <c r="R14" s="53"/>
      <c r="S14" s="53"/>
      <c r="T14" s="53"/>
      <c r="U14" s="53"/>
      <c r="V14" s="53"/>
      <c r="W14" s="53"/>
    </row>
    <row r="15" spans="1:24" s="15" customFormat="1" ht="14.45" customHeight="1" x14ac:dyDescent="0.25">
      <c r="A15" s="3" t="s">
        <v>517</v>
      </c>
      <c r="B15" s="54" t="s">
        <v>708</v>
      </c>
      <c r="C15" s="55"/>
      <c r="D15" s="55"/>
      <c r="E15" s="56"/>
      <c r="F15" s="56"/>
      <c r="G15" s="56"/>
      <c r="H15" s="56"/>
      <c r="I15" s="57"/>
      <c r="J15" s="57"/>
      <c r="K15" s="57"/>
      <c r="L15" s="57"/>
      <c r="M15" s="57"/>
      <c r="N15" s="57"/>
      <c r="O15" s="57"/>
      <c r="P15" s="57"/>
      <c r="Q15" s="57"/>
      <c r="R15" s="58"/>
      <c r="S15" s="58"/>
      <c r="T15" s="58"/>
      <c r="U15" s="58"/>
      <c r="V15" s="58"/>
      <c r="W15" s="58"/>
    </row>
    <row r="16" spans="1:24" s="15" customFormat="1" ht="14.45" customHeight="1" x14ac:dyDescent="0.25">
      <c r="A16" s="3" t="s">
        <v>518</v>
      </c>
      <c r="B16" s="59" t="s">
        <v>709</v>
      </c>
      <c r="C16" s="672"/>
      <c r="D16" s="60"/>
      <c r="E16" s="61"/>
      <c r="F16" s="61"/>
      <c r="G16" s="61"/>
      <c r="H16" s="61"/>
      <c r="I16" s="61"/>
      <c r="J16" s="61"/>
      <c r="K16" s="61"/>
      <c r="L16" s="696">
        <v>22.5</v>
      </c>
      <c r="M16" s="697">
        <f t="shared" ref="M16:M23" si="0">L16</f>
        <v>22.5</v>
      </c>
      <c r="N16" s="696"/>
      <c r="O16" s="696"/>
      <c r="P16" s="697">
        <f t="shared" ref="P16:P24" si="1">C16+H16+L16</f>
        <v>22.5</v>
      </c>
      <c r="Q16" s="697"/>
      <c r="R16" s="697">
        <f t="shared" ref="R16:R23" si="2">E16+I16+M16</f>
        <v>22.5</v>
      </c>
      <c r="S16" s="697"/>
      <c r="T16" s="697"/>
      <c r="U16" s="697">
        <f t="shared" ref="U16:U21" si="3">P16+S16/2</f>
        <v>22.5</v>
      </c>
      <c r="V16" s="697"/>
      <c r="W16" s="697">
        <f t="shared" ref="W16:W23" si="4">R16+T16/2</f>
        <v>22.5</v>
      </c>
      <c r="X16" s="674"/>
    </row>
    <row r="17" spans="1:24" s="15" customFormat="1" ht="14.45" customHeight="1" x14ac:dyDescent="0.25">
      <c r="A17" s="3" t="s">
        <v>519</v>
      </c>
      <c r="B17" s="59" t="s">
        <v>1005</v>
      </c>
      <c r="C17" s="60"/>
      <c r="D17" s="60"/>
      <c r="E17" s="61"/>
      <c r="F17" s="61"/>
      <c r="G17" s="61"/>
      <c r="H17" s="61"/>
      <c r="I17" s="61"/>
      <c r="J17" s="61"/>
      <c r="K17" s="61"/>
      <c r="L17" s="61">
        <v>20</v>
      </c>
      <c r="M17" s="46">
        <f t="shared" si="0"/>
        <v>20</v>
      </c>
      <c r="N17" s="61"/>
      <c r="O17" s="61"/>
      <c r="P17" s="46">
        <f t="shared" si="1"/>
        <v>20</v>
      </c>
      <c r="Q17" s="46"/>
      <c r="R17" s="46">
        <f t="shared" si="2"/>
        <v>20</v>
      </c>
      <c r="S17" s="46"/>
      <c r="T17" s="46"/>
      <c r="U17" s="46">
        <f t="shared" si="3"/>
        <v>20</v>
      </c>
      <c r="V17" s="46"/>
      <c r="W17" s="46">
        <f t="shared" si="4"/>
        <v>20</v>
      </c>
    </row>
    <row r="18" spans="1:24" s="15" customFormat="1" ht="14.45" customHeight="1" x14ac:dyDescent="0.25">
      <c r="A18" s="3" t="s">
        <v>520</v>
      </c>
      <c r="B18" s="59" t="s">
        <v>1006</v>
      </c>
      <c r="C18" s="60"/>
      <c r="D18" s="60"/>
      <c r="E18" s="61"/>
      <c r="F18" s="61"/>
      <c r="G18" s="61"/>
      <c r="H18" s="61"/>
      <c r="I18" s="61"/>
      <c r="J18" s="61"/>
      <c r="K18" s="61"/>
      <c r="L18" s="61">
        <v>9</v>
      </c>
      <c r="M18" s="46">
        <f t="shared" si="0"/>
        <v>9</v>
      </c>
      <c r="N18" s="61"/>
      <c r="O18" s="61"/>
      <c r="P18" s="46">
        <f t="shared" si="1"/>
        <v>9</v>
      </c>
      <c r="Q18" s="46"/>
      <c r="R18" s="46">
        <f t="shared" si="2"/>
        <v>9</v>
      </c>
      <c r="S18" s="46"/>
      <c r="T18" s="46"/>
      <c r="U18" s="46">
        <f t="shared" si="3"/>
        <v>9</v>
      </c>
      <c r="V18" s="46"/>
      <c r="W18" s="46">
        <f t="shared" si="4"/>
        <v>9</v>
      </c>
    </row>
    <row r="19" spans="1:24" s="15" customFormat="1" ht="14.45" customHeight="1" x14ac:dyDescent="0.25">
      <c r="A19" s="3" t="s">
        <v>521</v>
      </c>
      <c r="B19" s="59" t="s">
        <v>1007</v>
      </c>
      <c r="C19" s="60"/>
      <c r="D19" s="60"/>
      <c r="E19" s="61"/>
      <c r="F19" s="61"/>
      <c r="G19" s="61"/>
      <c r="H19" s="61"/>
      <c r="I19" s="61"/>
      <c r="J19" s="61"/>
      <c r="K19" s="61"/>
      <c r="L19" s="61">
        <v>11</v>
      </c>
      <c r="M19" s="46">
        <f t="shared" si="0"/>
        <v>11</v>
      </c>
      <c r="N19" s="61"/>
      <c r="O19" s="61"/>
      <c r="P19" s="46">
        <f t="shared" si="1"/>
        <v>11</v>
      </c>
      <c r="Q19" s="46"/>
      <c r="R19" s="46">
        <f t="shared" si="2"/>
        <v>11</v>
      </c>
      <c r="S19" s="46"/>
      <c r="T19" s="46"/>
      <c r="U19" s="46">
        <f t="shared" si="3"/>
        <v>11</v>
      </c>
      <c r="V19" s="46"/>
      <c r="W19" s="46">
        <f t="shared" si="4"/>
        <v>11</v>
      </c>
    </row>
    <row r="20" spans="1:24" s="15" customFormat="1" ht="14.45" customHeight="1" x14ac:dyDescent="0.25">
      <c r="A20" s="3" t="s">
        <v>522</v>
      </c>
      <c r="B20" s="59" t="s">
        <v>710</v>
      </c>
      <c r="C20" s="60"/>
      <c r="D20" s="60"/>
      <c r="E20" s="61"/>
      <c r="F20" s="61"/>
      <c r="G20" s="61"/>
      <c r="H20" s="61"/>
      <c r="I20" s="61"/>
      <c r="J20" s="61"/>
      <c r="K20" s="61"/>
      <c r="L20" s="61">
        <v>1</v>
      </c>
      <c r="M20" s="46">
        <f t="shared" si="0"/>
        <v>1</v>
      </c>
      <c r="N20" s="61"/>
      <c r="O20" s="61"/>
      <c r="P20" s="46">
        <f t="shared" si="1"/>
        <v>1</v>
      </c>
      <c r="Q20" s="46"/>
      <c r="R20" s="46">
        <f t="shared" si="2"/>
        <v>1</v>
      </c>
      <c r="S20" s="46"/>
      <c r="T20" s="46"/>
      <c r="U20" s="46">
        <f t="shared" si="3"/>
        <v>1</v>
      </c>
      <c r="V20" s="46"/>
      <c r="W20" s="46">
        <f t="shared" si="4"/>
        <v>1</v>
      </c>
    </row>
    <row r="21" spans="1:24" s="15" customFormat="1" ht="14.45" customHeight="1" x14ac:dyDescent="0.25">
      <c r="A21" s="3" t="s">
        <v>523</v>
      </c>
      <c r="B21" s="59" t="s">
        <v>711</v>
      </c>
      <c r="C21" s="60"/>
      <c r="D21" s="60"/>
      <c r="E21" s="61"/>
      <c r="F21" s="61"/>
      <c r="G21" s="61"/>
      <c r="H21" s="61"/>
      <c r="I21" s="61"/>
      <c r="J21" s="61"/>
      <c r="K21" s="61"/>
      <c r="L21" s="61">
        <v>5</v>
      </c>
      <c r="M21" s="46">
        <f t="shared" si="0"/>
        <v>5</v>
      </c>
      <c r="N21" s="61"/>
      <c r="O21" s="61"/>
      <c r="P21" s="46">
        <f t="shared" si="1"/>
        <v>5</v>
      </c>
      <c r="Q21" s="46"/>
      <c r="R21" s="46">
        <f t="shared" si="2"/>
        <v>5</v>
      </c>
      <c r="S21" s="46"/>
      <c r="T21" s="46"/>
      <c r="U21" s="46">
        <f t="shared" si="3"/>
        <v>5</v>
      </c>
      <c r="V21" s="46"/>
      <c r="W21" s="46">
        <f t="shared" si="4"/>
        <v>5</v>
      </c>
    </row>
    <row r="22" spans="1:24" s="15" customFormat="1" ht="14.45" customHeight="1" x14ac:dyDescent="0.25">
      <c r="A22" s="3" t="s">
        <v>566</v>
      </c>
      <c r="B22" s="59" t="s">
        <v>985</v>
      </c>
      <c r="C22" s="60"/>
      <c r="D22" s="60"/>
      <c r="E22" s="61"/>
      <c r="F22" s="61"/>
      <c r="G22" s="61"/>
      <c r="H22" s="61"/>
      <c r="I22" s="61"/>
      <c r="J22" s="61"/>
      <c r="K22" s="61"/>
      <c r="L22" s="61">
        <v>3</v>
      </c>
      <c r="M22" s="46">
        <f t="shared" si="0"/>
        <v>3</v>
      </c>
      <c r="N22" s="61"/>
      <c r="O22" s="61"/>
      <c r="P22" s="46">
        <f t="shared" si="1"/>
        <v>3</v>
      </c>
      <c r="Q22" s="46"/>
      <c r="R22" s="46">
        <f t="shared" si="2"/>
        <v>3</v>
      </c>
      <c r="S22" s="46"/>
      <c r="T22" s="46"/>
      <c r="U22" s="46">
        <v>3</v>
      </c>
      <c r="V22" s="46"/>
      <c r="W22" s="46">
        <f t="shared" si="4"/>
        <v>3</v>
      </c>
    </row>
    <row r="23" spans="1:24" s="15" customFormat="1" ht="14.45" customHeight="1" x14ac:dyDescent="0.25">
      <c r="A23" s="3" t="s">
        <v>567</v>
      </c>
      <c r="B23" s="59" t="s">
        <v>713</v>
      </c>
      <c r="C23" s="60"/>
      <c r="D23" s="60"/>
      <c r="E23" s="61"/>
      <c r="F23" s="61"/>
      <c r="G23" s="61"/>
      <c r="H23" s="61"/>
      <c r="I23" s="61"/>
      <c r="J23" s="61"/>
      <c r="K23" s="61"/>
      <c r="L23" s="61">
        <v>4</v>
      </c>
      <c r="M23" s="46">
        <f t="shared" si="0"/>
        <v>4</v>
      </c>
      <c r="N23" s="61"/>
      <c r="O23" s="61"/>
      <c r="P23" s="46">
        <f t="shared" si="1"/>
        <v>4</v>
      </c>
      <c r="Q23" s="46"/>
      <c r="R23" s="46">
        <f t="shared" si="2"/>
        <v>4</v>
      </c>
      <c r="S23" s="46"/>
      <c r="T23" s="46"/>
      <c r="U23" s="46">
        <f>P23+S23/2</f>
        <v>4</v>
      </c>
      <c r="V23" s="46"/>
      <c r="W23" s="46">
        <f t="shared" si="4"/>
        <v>4</v>
      </c>
    </row>
    <row r="24" spans="1:24" s="15" customFormat="1" ht="14.45" customHeight="1" x14ac:dyDescent="0.25">
      <c r="A24" s="3" t="s">
        <v>568</v>
      </c>
      <c r="B24" s="44" t="s">
        <v>714</v>
      </c>
      <c r="C24" s="45"/>
      <c r="D24" s="45"/>
      <c r="E24" s="62"/>
      <c r="F24" s="62"/>
      <c r="G24" s="62"/>
      <c r="H24" s="62"/>
      <c r="I24" s="61"/>
      <c r="J24" s="61"/>
      <c r="K24" s="61"/>
      <c r="L24" s="46">
        <f>SUM(L16:L23)</f>
        <v>75.5</v>
      </c>
      <c r="M24" s="46">
        <f>SUM(M16:M23)</f>
        <v>75.5</v>
      </c>
      <c r="N24" s="46">
        <v>0</v>
      </c>
      <c r="O24" s="46">
        <v>0</v>
      </c>
      <c r="P24" s="46">
        <f t="shared" si="1"/>
        <v>75.5</v>
      </c>
      <c r="Q24" s="46"/>
      <c r="R24" s="46">
        <f>SUM(R16:R23)</f>
        <v>75.5</v>
      </c>
      <c r="S24" s="46">
        <v>0</v>
      </c>
      <c r="T24" s="46">
        <v>0</v>
      </c>
      <c r="U24" s="212">
        <f>P24+S24/2</f>
        <v>75.5</v>
      </c>
      <c r="V24" s="648">
        <v>0</v>
      </c>
      <c r="W24" s="46">
        <f>SUM(W16:W23)</f>
        <v>75.5</v>
      </c>
      <c r="X24" s="642"/>
    </row>
    <row r="25" spans="1:24" s="15" customFormat="1" ht="13.5" customHeight="1" x14ac:dyDescent="0.25">
      <c r="A25" s="3"/>
      <c r="B25" s="107"/>
      <c r="C25" s="108"/>
      <c r="D25" s="108"/>
      <c r="E25" s="109"/>
      <c r="F25" s="109"/>
      <c r="G25" s="109"/>
      <c r="H25" s="109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</row>
    <row r="26" spans="1:24" ht="12.75" customHeight="1" x14ac:dyDescent="0.25">
      <c r="A26" s="3"/>
      <c r="B26" s="49"/>
      <c r="C26" s="50"/>
      <c r="D26" s="50"/>
      <c r="E26" s="51"/>
      <c r="F26" s="51"/>
      <c r="G26" s="51"/>
      <c r="H26" s="51"/>
      <c r="I26" s="69"/>
      <c r="J26" s="69"/>
      <c r="K26" s="69"/>
      <c r="L26" s="69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4" s="15" customFormat="1" ht="27" customHeight="1" x14ac:dyDescent="0.25">
      <c r="A27" s="3" t="s">
        <v>569</v>
      </c>
      <c r="B27" s="54" t="s">
        <v>715</v>
      </c>
      <c r="C27" s="55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2"/>
      <c r="Q27" s="52"/>
      <c r="R27" s="52"/>
      <c r="S27" s="52"/>
      <c r="T27" s="52"/>
      <c r="U27" s="52"/>
      <c r="V27" s="52"/>
      <c r="W27" s="56"/>
    </row>
    <row r="28" spans="1:24" s="15" customFormat="1" ht="14.45" customHeight="1" x14ac:dyDescent="0.25">
      <c r="A28" s="3" t="s">
        <v>570</v>
      </c>
      <c r="B28" s="59" t="s">
        <v>631</v>
      </c>
      <c r="C28" s="60"/>
      <c r="D28" s="60"/>
      <c r="E28" s="61"/>
      <c r="F28" s="61"/>
      <c r="G28" s="61"/>
      <c r="H28" s="61"/>
      <c r="I28" s="46"/>
      <c r="J28" s="46"/>
      <c r="K28" s="46"/>
      <c r="L28" s="61">
        <v>7</v>
      </c>
      <c r="M28" s="46">
        <f t="shared" ref="M28:M38" si="5">L28</f>
        <v>7</v>
      </c>
      <c r="N28" s="61"/>
      <c r="O28" s="61"/>
      <c r="P28" s="46">
        <f>C28+H28+L28</f>
        <v>7</v>
      </c>
      <c r="Q28" s="46"/>
      <c r="R28" s="46">
        <f t="shared" ref="R28:R40" si="6">E28+I28+M28</f>
        <v>7</v>
      </c>
      <c r="S28" s="46"/>
      <c r="T28" s="46"/>
      <c r="U28" s="46">
        <f t="shared" ref="U28:U40" si="7">C28+H28+L28+N28/2</f>
        <v>7</v>
      </c>
      <c r="V28" s="61"/>
      <c r="W28" s="46">
        <f t="shared" ref="W28:W40" si="8">E28+I28+M28+O28/2</f>
        <v>7</v>
      </c>
      <c r="X28" s="24"/>
    </row>
    <row r="29" spans="1:24" s="15" customFormat="1" ht="14.45" customHeight="1" x14ac:dyDescent="0.25">
      <c r="A29" s="3" t="s">
        <v>571</v>
      </c>
      <c r="B29" s="59" t="s">
        <v>716</v>
      </c>
      <c r="C29" s="60"/>
      <c r="D29" s="60"/>
      <c r="E29" s="61"/>
      <c r="F29" s="61"/>
      <c r="G29" s="61"/>
      <c r="H29" s="61"/>
      <c r="I29" s="61"/>
      <c r="J29" s="61"/>
      <c r="K29" s="61"/>
      <c r="L29" s="61">
        <v>1</v>
      </c>
      <c r="M29" s="46">
        <f t="shared" si="5"/>
        <v>1</v>
      </c>
      <c r="N29" s="61"/>
      <c r="O29" s="61"/>
      <c r="P29" s="46">
        <f>C29+H29+L29</f>
        <v>1</v>
      </c>
      <c r="Q29" s="46"/>
      <c r="R29" s="46">
        <f t="shared" si="6"/>
        <v>1</v>
      </c>
      <c r="S29" s="46"/>
      <c r="T29" s="46"/>
      <c r="U29" s="46">
        <f t="shared" si="7"/>
        <v>1</v>
      </c>
      <c r="V29" s="61"/>
      <c r="W29" s="46">
        <f t="shared" si="8"/>
        <v>1</v>
      </c>
      <c r="X29" s="24"/>
    </row>
    <row r="30" spans="1:24" s="15" customFormat="1" ht="28.5" customHeight="1" x14ac:dyDescent="0.25">
      <c r="A30" s="3" t="s">
        <v>572</v>
      </c>
      <c r="B30" s="59" t="s">
        <v>1089</v>
      </c>
      <c r="C30" s="60"/>
      <c r="D30" s="60"/>
      <c r="E30" s="61"/>
      <c r="F30" s="61"/>
      <c r="G30" s="61"/>
      <c r="H30" s="61"/>
      <c r="I30" s="61"/>
      <c r="J30" s="61"/>
      <c r="K30" s="61"/>
      <c r="L30" s="61">
        <v>31</v>
      </c>
      <c r="M30" s="46">
        <f t="shared" si="5"/>
        <v>31</v>
      </c>
      <c r="N30" s="61">
        <v>1</v>
      </c>
      <c r="O30" s="61">
        <v>1</v>
      </c>
      <c r="P30" s="46">
        <v>31</v>
      </c>
      <c r="Q30" s="46"/>
      <c r="R30" s="46">
        <f t="shared" si="6"/>
        <v>31</v>
      </c>
      <c r="S30" s="697">
        <f>N30+J30+F30</f>
        <v>1</v>
      </c>
      <c r="T30" s="697">
        <f>G30+K30+O30</f>
        <v>1</v>
      </c>
      <c r="U30" s="697">
        <f t="shared" si="7"/>
        <v>31.5</v>
      </c>
      <c r="V30" s="696"/>
      <c r="W30" s="697">
        <f t="shared" si="8"/>
        <v>31.5</v>
      </c>
      <c r="X30" s="24"/>
    </row>
    <row r="31" spans="1:24" s="15" customFormat="1" ht="14.45" customHeight="1" x14ac:dyDescent="0.25">
      <c r="A31" s="3" t="s">
        <v>574</v>
      </c>
      <c r="B31" s="59" t="s">
        <v>717</v>
      </c>
      <c r="C31" s="60"/>
      <c r="D31" s="60"/>
      <c r="E31" s="61"/>
      <c r="F31" s="61"/>
      <c r="G31" s="61"/>
      <c r="H31" s="61"/>
      <c r="I31" s="61"/>
      <c r="J31" s="61"/>
      <c r="K31" s="61"/>
      <c r="L31" s="61">
        <v>2</v>
      </c>
      <c r="M31" s="46">
        <f t="shared" si="5"/>
        <v>2</v>
      </c>
      <c r="N31" s="61"/>
      <c r="O31" s="61"/>
      <c r="P31" s="46">
        <f>C31+H31+L31</f>
        <v>2</v>
      </c>
      <c r="Q31" s="46"/>
      <c r="R31" s="46">
        <f t="shared" si="6"/>
        <v>2</v>
      </c>
      <c r="S31" s="46"/>
      <c r="T31" s="46"/>
      <c r="U31" s="46">
        <f t="shared" si="7"/>
        <v>2</v>
      </c>
      <c r="V31" s="61"/>
      <c r="W31" s="46">
        <f t="shared" si="8"/>
        <v>2</v>
      </c>
      <c r="X31" s="24"/>
    </row>
    <row r="32" spans="1:24" s="15" customFormat="1" ht="14.45" customHeight="1" x14ac:dyDescent="0.25">
      <c r="A32" s="3" t="s">
        <v>575</v>
      </c>
      <c r="B32" s="59" t="s">
        <v>733</v>
      </c>
      <c r="C32" s="60"/>
      <c r="D32" s="60"/>
      <c r="E32" s="61"/>
      <c r="F32" s="61"/>
      <c r="G32" s="61"/>
      <c r="H32" s="61"/>
      <c r="I32" s="61"/>
      <c r="J32" s="61"/>
      <c r="K32" s="61"/>
      <c r="L32" s="61">
        <v>2</v>
      </c>
      <c r="M32" s="46">
        <f t="shared" si="5"/>
        <v>2</v>
      </c>
      <c r="N32" s="61"/>
      <c r="O32" s="61"/>
      <c r="P32" s="46">
        <f>C32+H32+L32</f>
        <v>2</v>
      </c>
      <c r="Q32" s="46"/>
      <c r="R32" s="46">
        <f t="shared" si="6"/>
        <v>2</v>
      </c>
      <c r="S32" s="46"/>
      <c r="T32" s="46"/>
      <c r="U32" s="46">
        <f t="shared" si="7"/>
        <v>2</v>
      </c>
      <c r="V32" s="46"/>
      <c r="W32" s="46">
        <f t="shared" si="8"/>
        <v>2</v>
      </c>
      <c r="X32" s="24"/>
    </row>
    <row r="33" spans="1:26" s="15" customFormat="1" ht="14.45" customHeight="1" x14ac:dyDescent="0.25">
      <c r="A33" s="3" t="s">
        <v>576</v>
      </c>
      <c r="B33" s="59" t="s">
        <v>718</v>
      </c>
      <c r="C33" s="60"/>
      <c r="D33" s="60"/>
      <c r="E33" s="61"/>
      <c r="F33" s="61"/>
      <c r="G33" s="61"/>
      <c r="H33" s="61"/>
      <c r="I33" s="61"/>
      <c r="J33" s="61"/>
      <c r="K33" s="61"/>
      <c r="L33" s="61">
        <v>2</v>
      </c>
      <c r="M33" s="46">
        <f t="shared" si="5"/>
        <v>2</v>
      </c>
      <c r="N33" s="61"/>
      <c r="O33" s="61"/>
      <c r="P33" s="46">
        <v>2</v>
      </c>
      <c r="Q33" s="46"/>
      <c r="R33" s="46">
        <f t="shared" si="6"/>
        <v>2</v>
      </c>
      <c r="S33" s="46"/>
      <c r="T33" s="46"/>
      <c r="U33" s="46">
        <f t="shared" si="7"/>
        <v>2</v>
      </c>
      <c r="V33" s="61"/>
      <c r="W33" s="46">
        <f t="shared" si="8"/>
        <v>2</v>
      </c>
      <c r="X33" s="24"/>
      <c r="Z33" s="470"/>
    </row>
    <row r="34" spans="1:26" s="15" customFormat="1" ht="14.45" customHeight="1" x14ac:dyDescent="0.25">
      <c r="A34" s="3" t="s">
        <v>577</v>
      </c>
      <c r="B34" s="59" t="s">
        <v>719</v>
      </c>
      <c r="C34" s="60"/>
      <c r="D34" s="60"/>
      <c r="E34" s="61"/>
      <c r="F34" s="61"/>
      <c r="G34" s="61"/>
      <c r="H34" s="61"/>
      <c r="I34" s="61"/>
      <c r="J34" s="61"/>
      <c r="K34" s="61"/>
      <c r="L34" s="61">
        <v>5</v>
      </c>
      <c r="M34" s="46">
        <f t="shared" si="5"/>
        <v>5</v>
      </c>
      <c r="N34" s="61"/>
      <c r="O34" s="61"/>
      <c r="P34" s="46">
        <f>L34+N34</f>
        <v>5</v>
      </c>
      <c r="Q34" s="46"/>
      <c r="R34" s="46">
        <f t="shared" si="6"/>
        <v>5</v>
      </c>
      <c r="S34" s="46"/>
      <c r="T34" s="46"/>
      <c r="U34" s="46">
        <f t="shared" si="7"/>
        <v>5</v>
      </c>
      <c r="V34" s="61"/>
      <c r="W34" s="46">
        <f t="shared" si="8"/>
        <v>5</v>
      </c>
      <c r="X34" s="24"/>
    </row>
    <row r="35" spans="1:26" s="15" customFormat="1" ht="14.45" customHeight="1" x14ac:dyDescent="0.25">
      <c r="A35" s="3" t="s">
        <v>578</v>
      </c>
      <c r="B35" s="59" t="s">
        <v>712</v>
      </c>
      <c r="C35" s="60"/>
      <c r="D35" s="60"/>
      <c r="E35" s="61"/>
      <c r="F35" s="61"/>
      <c r="G35" s="61"/>
      <c r="H35" s="61"/>
      <c r="I35" s="61"/>
      <c r="J35" s="61"/>
      <c r="K35" s="61"/>
      <c r="L35" s="61">
        <v>4</v>
      </c>
      <c r="M35" s="46">
        <f t="shared" si="5"/>
        <v>4</v>
      </c>
      <c r="N35" s="61"/>
      <c r="O35" s="61"/>
      <c r="P35" s="46">
        <v>4</v>
      </c>
      <c r="Q35" s="46"/>
      <c r="R35" s="46">
        <f t="shared" si="6"/>
        <v>4</v>
      </c>
      <c r="S35" s="46"/>
      <c r="T35" s="46"/>
      <c r="U35" s="46">
        <f t="shared" si="7"/>
        <v>4</v>
      </c>
      <c r="V35" s="61"/>
      <c r="W35" s="46">
        <f t="shared" si="8"/>
        <v>4</v>
      </c>
    </row>
    <row r="36" spans="1:26" s="15" customFormat="1" ht="14.45" customHeight="1" x14ac:dyDescent="0.25">
      <c r="A36" s="3" t="s">
        <v>579</v>
      </c>
      <c r="B36" s="59" t="s">
        <v>547</v>
      </c>
      <c r="C36" s="60"/>
      <c r="D36" s="60"/>
      <c r="E36" s="61"/>
      <c r="F36" s="61"/>
      <c r="G36" s="61"/>
      <c r="H36" s="61"/>
      <c r="I36" s="61"/>
      <c r="J36" s="61"/>
      <c r="K36" s="61"/>
      <c r="L36" s="61">
        <v>1</v>
      </c>
      <c r="M36" s="46">
        <f t="shared" si="5"/>
        <v>1</v>
      </c>
      <c r="N36" s="61"/>
      <c r="O36" s="61"/>
      <c r="P36" s="46">
        <v>1</v>
      </c>
      <c r="Q36" s="46"/>
      <c r="R36" s="46">
        <f t="shared" si="6"/>
        <v>1</v>
      </c>
      <c r="S36" s="46"/>
      <c r="T36" s="46"/>
      <c r="U36" s="46">
        <f t="shared" si="7"/>
        <v>1</v>
      </c>
      <c r="V36" s="61"/>
      <c r="W36" s="46">
        <f t="shared" si="8"/>
        <v>1</v>
      </c>
    </row>
    <row r="37" spans="1:26" s="15" customFormat="1" ht="14.45" customHeight="1" x14ac:dyDescent="0.25">
      <c r="A37" s="3" t="s">
        <v>580</v>
      </c>
      <c r="B37" s="59" t="s">
        <v>548</v>
      </c>
      <c r="C37" s="60"/>
      <c r="D37" s="60"/>
      <c r="E37" s="61"/>
      <c r="F37" s="61"/>
      <c r="G37" s="61"/>
      <c r="H37" s="61"/>
      <c r="I37" s="61"/>
      <c r="J37" s="61"/>
      <c r="K37" s="61"/>
      <c r="L37" s="61">
        <v>4</v>
      </c>
      <c r="M37" s="46">
        <f t="shared" si="5"/>
        <v>4</v>
      </c>
      <c r="N37" s="61"/>
      <c r="O37" s="61"/>
      <c r="P37" s="46">
        <v>4</v>
      </c>
      <c r="Q37" s="46"/>
      <c r="R37" s="46">
        <f t="shared" si="6"/>
        <v>4</v>
      </c>
      <c r="S37" s="46"/>
      <c r="T37" s="46"/>
      <c r="U37" s="46">
        <f t="shared" si="7"/>
        <v>4</v>
      </c>
      <c r="V37" s="61"/>
      <c r="W37" s="46">
        <f t="shared" si="8"/>
        <v>4</v>
      </c>
    </row>
    <row r="38" spans="1:26" s="15" customFormat="1" ht="14.25" customHeight="1" x14ac:dyDescent="0.25">
      <c r="A38" s="3" t="s">
        <v>581</v>
      </c>
      <c r="B38" s="59" t="s">
        <v>549</v>
      </c>
      <c r="C38" s="60"/>
      <c r="D38" s="60"/>
      <c r="E38" s="61"/>
      <c r="F38" s="61"/>
      <c r="G38" s="61"/>
      <c r="H38" s="61"/>
      <c r="I38" s="61"/>
      <c r="J38" s="61"/>
      <c r="K38" s="61"/>
      <c r="L38" s="61">
        <v>4</v>
      </c>
      <c r="M38" s="46">
        <f t="shared" si="5"/>
        <v>4</v>
      </c>
      <c r="N38" s="61"/>
      <c r="O38" s="61"/>
      <c r="P38" s="46">
        <v>4</v>
      </c>
      <c r="Q38" s="46"/>
      <c r="R38" s="46">
        <f t="shared" si="6"/>
        <v>4</v>
      </c>
      <c r="S38" s="46"/>
      <c r="T38" s="46"/>
      <c r="U38" s="46">
        <f t="shared" si="7"/>
        <v>4</v>
      </c>
      <c r="V38" s="61"/>
      <c r="W38" s="46">
        <f t="shared" si="8"/>
        <v>4</v>
      </c>
    </row>
    <row r="39" spans="1:26" s="15" customFormat="1" ht="14.25" customHeight="1" x14ac:dyDescent="0.25">
      <c r="A39" s="3" t="s">
        <v>601</v>
      </c>
      <c r="B39" s="59" t="s">
        <v>1016</v>
      </c>
      <c r="C39" s="60"/>
      <c r="D39" s="60"/>
      <c r="E39" s="61"/>
      <c r="F39" s="61"/>
      <c r="G39" s="61"/>
      <c r="H39" s="61"/>
      <c r="I39" s="61"/>
      <c r="J39" s="61"/>
      <c r="K39" s="61"/>
      <c r="L39" s="61">
        <v>1</v>
      </c>
      <c r="M39" s="46">
        <f>SUM(L39:L39)</f>
        <v>1</v>
      </c>
      <c r="N39" s="61"/>
      <c r="O39" s="61"/>
      <c r="P39" s="46">
        <f>L39</f>
        <v>1</v>
      </c>
      <c r="Q39" s="46"/>
      <c r="R39" s="46">
        <f t="shared" si="6"/>
        <v>1</v>
      </c>
      <c r="S39" s="46"/>
      <c r="T39" s="46"/>
      <c r="U39" s="46">
        <f t="shared" si="7"/>
        <v>1</v>
      </c>
      <c r="V39" s="61"/>
      <c r="W39" s="46">
        <f t="shared" si="8"/>
        <v>1</v>
      </c>
    </row>
    <row r="40" spans="1:26" s="15" customFormat="1" ht="14.25" customHeight="1" x14ac:dyDescent="0.25">
      <c r="A40" s="3" t="s">
        <v>602</v>
      </c>
      <c r="B40" s="44" t="s">
        <v>720</v>
      </c>
      <c r="C40" s="45"/>
      <c r="D40" s="45"/>
      <c r="E40" s="62"/>
      <c r="F40" s="62"/>
      <c r="G40" s="62"/>
      <c r="H40" s="62"/>
      <c r="I40" s="46"/>
      <c r="J40" s="46"/>
      <c r="K40" s="46"/>
      <c r="L40" s="46">
        <f>SUM(L28:L39)</f>
        <v>64</v>
      </c>
      <c r="M40" s="46">
        <f>SUM(M28:M39)</f>
        <v>64</v>
      </c>
      <c r="N40" s="46">
        <f>SUM(N28:N38)</f>
        <v>1</v>
      </c>
      <c r="O40" s="46">
        <f>SUM(O28:O38)</f>
        <v>1</v>
      </c>
      <c r="P40" s="46">
        <f>SUM(P28:P39)</f>
        <v>64</v>
      </c>
      <c r="Q40" s="46"/>
      <c r="R40" s="46">
        <f t="shared" si="6"/>
        <v>64</v>
      </c>
      <c r="S40" s="46">
        <f>N40+J40+F40</f>
        <v>1</v>
      </c>
      <c r="T40" s="46">
        <f>G40+K40+O40</f>
        <v>1</v>
      </c>
      <c r="U40" s="212">
        <f t="shared" si="7"/>
        <v>64.5</v>
      </c>
      <c r="V40" s="46">
        <v>0</v>
      </c>
      <c r="W40" s="46">
        <f t="shared" si="8"/>
        <v>64.5</v>
      </c>
    </row>
    <row r="41" spans="1:26" ht="12.75" hidden="1" customHeight="1" x14ac:dyDescent="0.25">
      <c r="A41" s="3" t="s">
        <v>603</v>
      </c>
      <c r="B41" s="63"/>
      <c r="C41" s="64"/>
      <c r="D41" s="64"/>
      <c r="E41" s="65"/>
      <c r="F41" s="65"/>
      <c r="G41" s="65"/>
      <c r="H41" s="65"/>
      <c r="I41" s="66"/>
      <c r="J41" s="66"/>
      <c r="K41" s="66"/>
      <c r="L41" s="66"/>
      <c r="M41" s="46">
        <f>L41</f>
        <v>0</v>
      </c>
      <c r="N41" s="66">
        <f>SUM(N28:N40)</f>
        <v>2</v>
      </c>
      <c r="O41" s="66"/>
      <c r="P41" s="66"/>
      <c r="Q41" s="66"/>
      <c r="R41" s="66"/>
      <c r="S41" s="52"/>
      <c r="T41" s="52"/>
      <c r="U41" s="52"/>
      <c r="V41" s="52"/>
      <c r="W41" s="471"/>
      <c r="X41" s="412"/>
    </row>
    <row r="42" spans="1:26" s="27" customFormat="1" ht="14.25" hidden="1" customHeight="1" x14ac:dyDescent="0.25">
      <c r="A42" s="3" t="s">
        <v>604</v>
      </c>
      <c r="B42" s="54"/>
      <c r="C42" s="68"/>
      <c r="D42" s="68"/>
      <c r="E42" s="52"/>
      <c r="F42" s="52"/>
      <c r="G42" s="52"/>
      <c r="H42" s="52"/>
      <c r="I42" s="69"/>
      <c r="J42" s="69"/>
      <c r="K42" s="69"/>
      <c r="L42" s="69"/>
      <c r="M42" s="52"/>
      <c r="N42" s="52"/>
      <c r="O42" s="52"/>
      <c r="P42" s="52"/>
      <c r="Q42" s="52"/>
      <c r="R42" s="69"/>
      <c r="S42" s="69"/>
      <c r="T42" s="52"/>
      <c r="U42" s="52"/>
      <c r="V42" s="52"/>
      <c r="W42" s="52"/>
    </row>
    <row r="43" spans="1:26" s="27" customFormat="1" ht="14.45" hidden="1" customHeight="1" x14ac:dyDescent="0.25">
      <c r="A43" s="3" t="s">
        <v>605</v>
      </c>
      <c r="B43" s="70"/>
      <c r="C43" s="71"/>
      <c r="D43" s="71"/>
      <c r="E43" s="46"/>
      <c r="F43" s="46"/>
      <c r="G43" s="46"/>
      <c r="H43" s="46"/>
      <c r="I43" s="61"/>
      <c r="J43" s="61"/>
      <c r="K43" s="61"/>
      <c r="L43" s="61"/>
      <c r="M43" s="46"/>
      <c r="N43" s="46"/>
      <c r="O43" s="46"/>
      <c r="P43" s="46"/>
      <c r="Q43" s="46"/>
      <c r="R43" s="61"/>
      <c r="S43" s="61"/>
      <c r="T43" s="46"/>
      <c r="U43" s="46"/>
      <c r="V43" s="46"/>
      <c r="W43" s="46"/>
    </row>
    <row r="44" spans="1:26" s="27" customFormat="1" ht="14.25" hidden="1" customHeight="1" x14ac:dyDescent="0.25">
      <c r="A44" s="3" t="s">
        <v>606</v>
      </c>
      <c r="B44" s="59"/>
      <c r="C44" s="60"/>
      <c r="D44" s="60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46"/>
      <c r="U44" s="46"/>
      <c r="V44" s="46"/>
      <c r="W44" s="46"/>
    </row>
    <row r="45" spans="1:26" s="27" customFormat="1" ht="14.25" hidden="1" customHeight="1" x14ac:dyDescent="0.25">
      <c r="A45" s="3" t="s">
        <v>607</v>
      </c>
      <c r="B45" s="59"/>
      <c r="C45" s="60"/>
      <c r="D45" s="60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46"/>
      <c r="U45" s="46"/>
      <c r="V45" s="46"/>
      <c r="W45" s="46"/>
    </row>
    <row r="46" spans="1:26" s="27" customFormat="1" ht="14.25" hidden="1" customHeight="1" x14ac:dyDescent="0.25">
      <c r="A46" s="3" t="s">
        <v>608</v>
      </c>
      <c r="B46" s="59"/>
      <c r="C46" s="60"/>
      <c r="D46" s="60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46"/>
      <c r="U46" s="46"/>
      <c r="V46" s="46"/>
      <c r="W46" s="46"/>
    </row>
    <row r="47" spans="1:26" s="27" customFormat="1" ht="14.25" hidden="1" customHeight="1" x14ac:dyDescent="0.25">
      <c r="A47" s="3" t="s">
        <v>609</v>
      </c>
      <c r="B47" s="59"/>
      <c r="C47" s="60"/>
      <c r="D47" s="60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46"/>
      <c r="U47" s="46"/>
      <c r="V47" s="46"/>
      <c r="W47" s="46"/>
    </row>
    <row r="48" spans="1:26" s="27" customFormat="1" ht="14.25" hidden="1" customHeight="1" x14ac:dyDescent="0.25">
      <c r="A48" s="3" t="s">
        <v>664</v>
      </c>
      <c r="B48" s="59"/>
      <c r="C48" s="60"/>
      <c r="D48" s="60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46"/>
      <c r="U48" s="46"/>
      <c r="V48" s="46"/>
      <c r="W48" s="46"/>
    </row>
    <row r="49" spans="1:23" s="27" customFormat="1" ht="14.25" hidden="1" customHeight="1" x14ac:dyDescent="0.25">
      <c r="A49" s="3" t="s">
        <v>665</v>
      </c>
      <c r="B49" s="59"/>
      <c r="C49" s="60"/>
      <c r="D49" s="60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46"/>
      <c r="U49" s="46"/>
      <c r="V49" s="46"/>
      <c r="W49" s="46"/>
    </row>
    <row r="50" spans="1:23" s="27" customFormat="1" ht="14.25" hidden="1" customHeight="1" x14ac:dyDescent="0.25">
      <c r="A50" s="3" t="s">
        <v>666</v>
      </c>
      <c r="B50" s="59"/>
      <c r="C50" s="60"/>
      <c r="D50" s="60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46"/>
      <c r="V50" s="61"/>
      <c r="W50" s="46"/>
    </row>
    <row r="51" spans="1:23" s="27" customFormat="1" ht="14.25" hidden="1" customHeight="1" x14ac:dyDescent="0.25">
      <c r="A51" s="3" t="s">
        <v>667</v>
      </c>
      <c r="B51" s="59"/>
      <c r="C51" s="60"/>
      <c r="D51" s="60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46"/>
      <c r="V51" s="61"/>
      <c r="W51" s="46"/>
    </row>
    <row r="52" spans="1:23" s="27" customFormat="1" ht="14.25" hidden="1" customHeight="1" x14ac:dyDescent="0.25">
      <c r="A52" s="3" t="s">
        <v>125</v>
      </c>
      <c r="B52" s="59"/>
      <c r="C52" s="60"/>
      <c r="D52" s="60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46"/>
      <c r="V52" s="61"/>
      <c r="W52" s="46"/>
    </row>
    <row r="53" spans="1:23" s="27" customFormat="1" ht="14.25" hidden="1" customHeight="1" x14ac:dyDescent="0.25">
      <c r="A53" s="3" t="s">
        <v>693</v>
      </c>
      <c r="B53" s="72"/>
      <c r="C53" s="71"/>
      <c r="D53" s="7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46"/>
      <c r="U53" s="46"/>
      <c r="V53" s="46"/>
      <c r="W53" s="46"/>
    </row>
    <row r="54" spans="1:23" s="27" customFormat="1" ht="14.25" hidden="1" customHeight="1" x14ac:dyDescent="0.25">
      <c r="A54" s="3" t="s">
        <v>694</v>
      </c>
      <c r="B54" s="59"/>
      <c r="C54" s="60"/>
      <c r="D54" s="60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46"/>
      <c r="U54" s="46"/>
      <c r="V54" s="46"/>
      <c r="W54" s="46"/>
    </row>
    <row r="55" spans="1:23" s="27" customFormat="1" ht="14.25" hidden="1" customHeight="1" x14ac:dyDescent="0.25">
      <c r="A55" s="3" t="s">
        <v>128</v>
      </c>
      <c r="B55" s="59"/>
      <c r="C55" s="60"/>
      <c r="D55" s="60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46"/>
      <c r="U55" s="46"/>
      <c r="V55" s="46"/>
      <c r="W55" s="46"/>
    </row>
    <row r="56" spans="1:23" s="27" customFormat="1" ht="14.25" hidden="1" customHeight="1" x14ac:dyDescent="0.25">
      <c r="A56" s="3" t="s">
        <v>129</v>
      </c>
      <c r="B56" s="59"/>
      <c r="C56" s="60"/>
      <c r="D56" s="60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46"/>
      <c r="U56" s="46"/>
      <c r="V56" s="46"/>
      <c r="W56" s="46"/>
    </row>
    <row r="57" spans="1:23" s="27" customFormat="1" ht="14.25" hidden="1" customHeight="1" x14ac:dyDescent="0.25">
      <c r="A57" s="3" t="s">
        <v>130</v>
      </c>
      <c r="B57" s="72"/>
      <c r="C57" s="71"/>
      <c r="D57" s="7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46"/>
      <c r="U57" s="46"/>
      <c r="V57" s="46"/>
      <c r="W57" s="46"/>
    </row>
    <row r="58" spans="1:23" s="27" customFormat="1" ht="14.25" hidden="1" customHeight="1" x14ac:dyDescent="0.25">
      <c r="A58" s="3" t="s">
        <v>133</v>
      </c>
      <c r="B58" s="59"/>
      <c r="C58" s="60"/>
      <c r="D58" s="60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46"/>
      <c r="U58" s="46"/>
      <c r="V58" s="46"/>
      <c r="W58" s="46"/>
    </row>
    <row r="59" spans="1:23" s="27" customFormat="1" ht="14.25" hidden="1" customHeight="1" x14ac:dyDescent="0.25">
      <c r="A59" s="3" t="s">
        <v>136</v>
      </c>
      <c r="B59" s="59"/>
      <c r="C59" s="60"/>
      <c r="D59" s="60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46"/>
      <c r="U59" s="46"/>
      <c r="V59" s="46"/>
      <c r="W59" s="46"/>
    </row>
    <row r="60" spans="1:23" s="27" customFormat="1" ht="14.45" hidden="1" customHeight="1" x14ac:dyDescent="0.25">
      <c r="A60" s="3" t="s">
        <v>137</v>
      </c>
      <c r="B60" s="72"/>
      <c r="C60" s="71"/>
      <c r="D60" s="7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46"/>
      <c r="U60" s="46"/>
      <c r="V60" s="46"/>
      <c r="W60" s="46"/>
    </row>
    <row r="61" spans="1:23" s="27" customFormat="1" ht="14.45" hidden="1" customHeight="1" x14ac:dyDescent="0.25">
      <c r="A61" s="3" t="s">
        <v>138</v>
      </c>
      <c r="B61" s="59"/>
      <c r="C61" s="60"/>
      <c r="D61" s="60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46"/>
      <c r="U61" s="46"/>
      <c r="V61" s="46"/>
      <c r="W61" s="46"/>
    </row>
    <row r="62" spans="1:23" s="27" customFormat="1" ht="14.45" hidden="1" customHeight="1" x14ac:dyDescent="0.25">
      <c r="A62" s="3" t="s">
        <v>139</v>
      </c>
      <c r="B62" s="59"/>
      <c r="C62" s="60"/>
      <c r="D62" s="60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46"/>
      <c r="U62" s="46"/>
      <c r="V62" s="46"/>
      <c r="W62" s="46"/>
    </row>
    <row r="63" spans="1:23" s="27" customFormat="1" ht="14.45" hidden="1" customHeight="1" x14ac:dyDescent="0.25">
      <c r="A63" s="3" t="s">
        <v>142</v>
      </c>
      <c r="B63" s="59"/>
      <c r="C63" s="60"/>
      <c r="D63" s="60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46"/>
      <c r="U63" s="46"/>
      <c r="V63" s="46"/>
      <c r="W63" s="46"/>
    </row>
    <row r="64" spans="1:23" s="27" customFormat="1" ht="14.45" hidden="1" customHeight="1" x14ac:dyDescent="0.25">
      <c r="A64" s="3" t="s">
        <v>145</v>
      </c>
      <c r="B64" s="44"/>
      <c r="C64" s="45"/>
      <c r="D64" s="45"/>
      <c r="E64" s="62"/>
      <c r="F64" s="62"/>
      <c r="G64" s="62"/>
      <c r="H64" s="62"/>
      <c r="I64" s="61"/>
      <c r="J64" s="61"/>
      <c r="K64" s="61"/>
      <c r="L64" s="46"/>
      <c r="M64" s="46"/>
      <c r="N64" s="46"/>
      <c r="O64" s="46"/>
      <c r="P64" s="46"/>
      <c r="Q64" s="46"/>
      <c r="R64" s="46"/>
      <c r="S64" s="46"/>
      <c r="T64" s="46"/>
      <c r="U64" s="47"/>
      <c r="V64" s="46"/>
      <c r="W64" s="46"/>
    </row>
    <row r="65" spans="1:23" s="27" customFormat="1" ht="14.45" customHeight="1" x14ac:dyDescent="0.25">
      <c r="A65" s="3"/>
      <c r="B65" s="493"/>
      <c r="C65" s="494"/>
      <c r="D65" s="494"/>
      <c r="E65" s="109"/>
      <c r="F65" s="109"/>
      <c r="G65" s="109"/>
      <c r="H65" s="109"/>
      <c r="I65" s="495"/>
      <c r="J65" s="495"/>
      <c r="K65" s="495"/>
      <c r="L65" s="110"/>
      <c r="M65" s="110"/>
      <c r="N65" s="110"/>
      <c r="O65" s="110"/>
      <c r="P65" s="110"/>
      <c r="Q65" s="110"/>
      <c r="R65" s="110"/>
      <c r="S65" s="110"/>
      <c r="T65" s="110"/>
      <c r="U65" s="496"/>
      <c r="V65" s="110"/>
      <c r="W65" s="110"/>
    </row>
    <row r="66" spans="1:23" s="27" customFormat="1" ht="14.45" customHeight="1" x14ac:dyDescent="0.25">
      <c r="A66" s="3"/>
      <c r="B66" s="74"/>
      <c r="C66" s="68"/>
      <c r="D66" s="68"/>
      <c r="E66" s="51"/>
      <c r="F66" s="51"/>
      <c r="G66" s="51"/>
      <c r="H66" s="51"/>
      <c r="I66" s="69"/>
      <c r="J66" s="69"/>
      <c r="K66" s="69"/>
      <c r="L66" s="52"/>
      <c r="M66" s="52"/>
      <c r="N66" s="52"/>
      <c r="O66" s="52"/>
      <c r="P66" s="52"/>
      <c r="Q66" s="52"/>
      <c r="R66" s="52"/>
      <c r="S66" s="52"/>
      <c r="T66" s="52"/>
      <c r="U66" s="215"/>
      <c r="V66" s="52"/>
      <c r="W66" s="52"/>
    </row>
    <row r="67" spans="1:23" s="27" customFormat="1" ht="14.45" customHeight="1" x14ac:dyDescent="0.25">
      <c r="A67" s="3"/>
      <c r="B67" s="74"/>
      <c r="C67" s="68"/>
      <c r="D67" s="68"/>
      <c r="E67" s="51"/>
      <c r="F67" s="51"/>
      <c r="G67" s="51"/>
      <c r="H67" s="51"/>
      <c r="I67" s="69"/>
      <c r="J67" s="69"/>
      <c r="K67" s="69"/>
      <c r="L67" s="52"/>
      <c r="M67" s="52"/>
      <c r="N67" s="52"/>
      <c r="O67" s="52"/>
      <c r="P67" s="52"/>
      <c r="Q67" s="52"/>
      <c r="R67" s="52"/>
      <c r="S67" s="52"/>
      <c r="T67" s="52"/>
      <c r="U67" s="215"/>
      <c r="V67" s="52"/>
      <c r="W67" s="52"/>
    </row>
    <row r="68" spans="1:23" s="27" customFormat="1" ht="14.45" customHeight="1" x14ac:dyDescent="0.25">
      <c r="A68" s="3" t="s">
        <v>603</v>
      </c>
      <c r="B68" s="29" t="s">
        <v>736</v>
      </c>
      <c r="C68" s="68"/>
      <c r="D68" s="68"/>
      <c r="E68" s="51"/>
      <c r="F68" s="51"/>
      <c r="G68" s="51"/>
      <c r="H68" s="51"/>
      <c r="I68" s="69"/>
      <c r="J68" s="69"/>
      <c r="K68" s="69"/>
      <c r="L68" s="52"/>
      <c r="M68" s="52"/>
      <c r="N68" s="52"/>
      <c r="O68" s="52"/>
      <c r="P68" s="52"/>
      <c r="Q68" s="52"/>
      <c r="R68" s="52"/>
      <c r="S68" s="52"/>
      <c r="T68" s="52"/>
      <c r="U68" s="215"/>
      <c r="V68" s="52"/>
      <c r="W68" s="52"/>
    </row>
    <row r="69" spans="1:23" s="27" customFormat="1" ht="14.45" customHeight="1" x14ac:dyDescent="0.25">
      <c r="A69" s="3" t="s">
        <v>604</v>
      </c>
      <c r="B69" s="498" t="s">
        <v>737</v>
      </c>
      <c r="C69" s="217"/>
      <c r="D69" s="217"/>
      <c r="E69" s="218"/>
      <c r="F69" s="218"/>
      <c r="G69" s="218"/>
      <c r="H69" s="218"/>
      <c r="I69" s="219"/>
      <c r="J69" s="219"/>
      <c r="K69" s="219"/>
      <c r="L69" s="220"/>
      <c r="M69" s="220"/>
      <c r="N69" s="220"/>
      <c r="O69" s="220"/>
      <c r="P69" s="220"/>
      <c r="Q69" s="220"/>
      <c r="R69" s="220"/>
      <c r="S69" s="220"/>
      <c r="T69" s="220"/>
      <c r="U69" s="497"/>
      <c r="V69" s="497"/>
      <c r="W69" s="497"/>
    </row>
    <row r="70" spans="1:23" s="27" customFormat="1" ht="14.45" customHeight="1" x14ac:dyDescent="0.25">
      <c r="A70" s="3" t="s">
        <v>605</v>
      </c>
      <c r="B70" s="492" t="s">
        <v>738</v>
      </c>
      <c r="C70" s="217"/>
      <c r="D70" s="217"/>
      <c r="E70" s="218"/>
      <c r="F70" s="218"/>
      <c r="G70" s="218"/>
      <c r="H70" s="218"/>
      <c r="I70" s="219"/>
      <c r="J70" s="219"/>
      <c r="K70" s="219"/>
      <c r="L70" s="220">
        <v>1</v>
      </c>
      <c r="M70" s="220">
        <f t="shared" ref="M70:M78" si="9">L70</f>
        <v>1</v>
      </c>
      <c r="N70" s="220"/>
      <c r="O70" s="220"/>
      <c r="P70" s="220">
        <v>1</v>
      </c>
      <c r="Q70" s="220"/>
      <c r="R70" s="220">
        <f t="shared" ref="R70:R78" si="10">E70+I70+M70</f>
        <v>1</v>
      </c>
      <c r="S70" s="220"/>
      <c r="T70" s="220"/>
      <c r="U70" s="497">
        <f t="shared" ref="U70:U78" si="11">P70+S70/2</f>
        <v>1</v>
      </c>
      <c r="V70" s="497"/>
      <c r="W70" s="497">
        <f t="shared" ref="W70:W78" si="12">R70+T70/2</f>
        <v>1</v>
      </c>
    </row>
    <row r="71" spans="1:23" s="27" customFormat="1" ht="14.45" customHeight="1" x14ac:dyDescent="0.25">
      <c r="A71" s="3" t="s">
        <v>606</v>
      </c>
      <c r="B71" s="492" t="s">
        <v>739</v>
      </c>
      <c r="C71" s="217"/>
      <c r="D71" s="217"/>
      <c r="E71" s="218"/>
      <c r="F71" s="218"/>
      <c r="G71" s="218"/>
      <c r="H71" s="218"/>
      <c r="I71" s="219"/>
      <c r="J71" s="219"/>
      <c r="K71" s="219"/>
      <c r="L71" s="220">
        <v>1</v>
      </c>
      <c r="M71" s="220">
        <f t="shared" si="9"/>
        <v>1</v>
      </c>
      <c r="N71" s="220"/>
      <c r="O71" s="220"/>
      <c r="P71" s="220">
        <v>1</v>
      </c>
      <c r="Q71" s="220"/>
      <c r="R71" s="220">
        <f t="shared" si="10"/>
        <v>1</v>
      </c>
      <c r="S71" s="220"/>
      <c r="T71" s="220"/>
      <c r="U71" s="497">
        <f t="shared" si="11"/>
        <v>1</v>
      </c>
      <c r="V71" s="497"/>
      <c r="W71" s="497">
        <f t="shared" si="12"/>
        <v>1</v>
      </c>
    </row>
    <row r="72" spans="1:23" s="27" customFormat="1" ht="14.45" customHeight="1" x14ac:dyDescent="0.25">
      <c r="A72" s="3" t="s">
        <v>607</v>
      </c>
      <c r="B72" s="492" t="s">
        <v>740</v>
      </c>
      <c r="C72" s="217"/>
      <c r="D72" s="217"/>
      <c r="E72" s="218"/>
      <c r="F72" s="218"/>
      <c r="G72" s="218"/>
      <c r="H72" s="218"/>
      <c r="I72" s="219"/>
      <c r="J72" s="219"/>
      <c r="K72" s="219"/>
      <c r="L72" s="220">
        <v>2</v>
      </c>
      <c r="M72" s="220">
        <f t="shared" si="9"/>
        <v>2</v>
      </c>
      <c r="N72" s="220"/>
      <c r="O72" s="220"/>
      <c r="P72" s="220">
        <v>2</v>
      </c>
      <c r="Q72" s="220"/>
      <c r="R72" s="220">
        <f t="shared" si="10"/>
        <v>2</v>
      </c>
      <c r="S72" s="220"/>
      <c r="T72" s="220"/>
      <c r="U72" s="497">
        <f t="shared" si="11"/>
        <v>2</v>
      </c>
      <c r="V72" s="497"/>
      <c r="W72" s="497">
        <f t="shared" si="12"/>
        <v>2</v>
      </c>
    </row>
    <row r="73" spans="1:23" s="27" customFormat="1" ht="14.45" customHeight="1" x14ac:dyDescent="0.25">
      <c r="A73" s="3" t="s">
        <v>608</v>
      </c>
      <c r="B73" s="492" t="s">
        <v>741</v>
      </c>
      <c r="C73" s="217"/>
      <c r="D73" s="217"/>
      <c r="E73" s="218"/>
      <c r="F73" s="218"/>
      <c r="G73" s="218"/>
      <c r="H73" s="218"/>
      <c r="I73" s="219"/>
      <c r="J73" s="219"/>
      <c r="K73" s="219"/>
      <c r="L73" s="220">
        <v>1</v>
      </c>
      <c r="M73" s="220">
        <f t="shared" si="9"/>
        <v>1</v>
      </c>
      <c r="N73" s="220"/>
      <c r="O73" s="220"/>
      <c r="P73" s="220">
        <v>1</v>
      </c>
      <c r="Q73" s="220"/>
      <c r="R73" s="220">
        <f t="shared" si="10"/>
        <v>1</v>
      </c>
      <c r="S73" s="220"/>
      <c r="T73" s="220"/>
      <c r="U73" s="497">
        <f t="shared" si="11"/>
        <v>1</v>
      </c>
      <c r="V73" s="497"/>
      <c r="W73" s="497">
        <f t="shared" si="12"/>
        <v>1</v>
      </c>
    </row>
    <row r="74" spans="1:23" s="27" customFormat="1" ht="14.45" customHeight="1" x14ac:dyDescent="0.25">
      <c r="A74" s="3" t="s">
        <v>609</v>
      </c>
      <c r="B74" s="492" t="s">
        <v>742</v>
      </c>
      <c r="C74" s="217"/>
      <c r="D74" s="217"/>
      <c r="E74" s="218"/>
      <c r="F74" s="218"/>
      <c r="G74" s="218"/>
      <c r="H74" s="218"/>
      <c r="I74" s="219"/>
      <c r="J74" s="219"/>
      <c r="K74" s="219"/>
      <c r="L74" s="220">
        <v>1</v>
      </c>
      <c r="M74" s="220">
        <f t="shared" si="9"/>
        <v>1</v>
      </c>
      <c r="N74" s="220"/>
      <c r="O74" s="220"/>
      <c r="P74" s="220">
        <v>1</v>
      </c>
      <c r="Q74" s="220"/>
      <c r="R74" s="220">
        <f t="shared" si="10"/>
        <v>1</v>
      </c>
      <c r="S74" s="220"/>
      <c r="T74" s="220"/>
      <c r="U74" s="497">
        <f t="shared" si="11"/>
        <v>1</v>
      </c>
      <c r="V74" s="497"/>
      <c r="W74" s="497">
        <f t="shared" si="12"/>
        <v>1</v>
      </c>
    </row>
    <row r="75" spans="1:23" s="27" customFormat="1" ht="14.45" customHeight="1" x14ac:dyDescent="0.25">
      <c r="A75" s="3" t="s">
        <v>664</v>
      </c>
      <c r="B75" s="492" t="s">
        <v>1160</v>
      </c>
      <c r="C75" s="217"/>
      <c r="D75" s="217"/>
      <c r="E75" s="218"/>
      <c r="F75" s="218"/>
      <c r="G75" s="218"/>
      <c r="H75" s="218"/>
      <c r="I75" s="219"/>
      <c r="J75" s="219"/>
      <c r="K75" s="219"/>
      <c r="L75" s="220">
        <v>1</v>
      </c>
      <c r="M75" s="220">
        <f t="shared" si="9"/>
        <v>1</v>
      </c>
      <c r="N75" s="220"/>
      <c r="O75" s="220"/>
      <c r="P75" s="220">
        <v>1</v>
      </c>
      <c r="Q75" s="220"/>
      <c r="R75" s="220">
        <f t="shared" si="10"/>
        <v>1</v>
      </c>
      <c r="S75" s="220"/>
      <c r="T75" s="220"/>
      <c r="U75" s="497">
        <f t="shared" si="11"/>
        <v>1</v>
      </c>
      <c r="V75" s="497"/>
      <c r="W75" s="497">
        <f t="shared" si="12"/>
        <v>1</v>
      </c>
    </row>
    <row r="76" spans="1:23" s="27" customFormat="1" ht="14.45" customHeight="1" x14ac:dyDescent="0.25">
      <c r="A76" s="3" t="s">
        <v>665</v>
      </c>
      <c r="B76" s="492" t="s">
        <v>1161</v>
      </c>
      <c r="C76" s="217"/>
      <c r="D76" s="217"/>
      <c r="E76" s="218"/>
      <c r="F76" s="218"/>
      <c r="G76" s="218"/>
      <c r="H76" s="218"/>
      <c r="I76" s="219"/>
      <c r="J76" s="219"/>
      <c r="K76" s="219"/>
      <c r="L76" s="220">
        <v>1</v>
      </c>
      <c r="M76" s="220">
        <f t="shared" si="9"/>
        <v>1</v>
      </c>
      <c r="N76" s="220"/>
      <c r="O76" s="220"/>
      <c r="P76" s="220">
        <v>1</v>
      </c>
      <c r="Q76" s="220"/>
      <c r="R76" s="220">
        <f t="shared" si="10"/>
        <v>1</v>
      </c>
      <c r="S76" s="220"/>
      <c r="T76" s="220"/>
      <c r="U76" s="497">
        <f t="shared" si="11"/>
        <v>1</v>
      </c>
      <c r="V76" s="497"/>
      <c r="W76" s="497">
        <f t="shared" si="12"/>
        <v>1</v>
      </c>
    </row>
    <row r="77" spans="1:23" s="27" customFormat="1" ht="14.45" customHeight="1" x14ac:dyDescent="0.25">
      <c r="A77" s="3" t="s">
        <v>666</v>
      </c>
      <c r="B77" s="492" t="s">
        <v>743</v>
      </c>
      <c r="C77" s="217"/>
      <c r="D77" s="217"/>
      <c r="E77" s="218"/>
      <c r="F77" s="218"/>
      <c r="G77" s="218"/>
      <c r="H77" s="218"/>
      <c r="I77" s="219"/>
      <c r="J77" s="219"/>
      <c r="K77" s="219"/>
      <c r="L77" s="220">
        <v>1</v>
      </c>
      <c r="M77" s="220">
        <f t="shared" si="9"/>
        <v>1</v>
      </c>
      <c r="N77" s="220"/>
      <c r="O77" s="220"/>
      <c r="P77" s="220">
        <v>1</v>
      </c>
      <c r="Q77" s="220"/>
      <c r="R77" s="220">
        <f t="shared" si="10"/>
        <v>1</v>
      </c>
      <c r="S77" s="220"/>
      <c r="T77" s="220"/>
      <c r="U77" s="497">
        <f t="shared" si="11"/>
        <v>1</v>
      </c>
      <c r="V77" s="497"/>
      <c r="W77" s="497">
        <f t="shared" si="12"/>
        <v>1</v>
      </c>
    </row>
    <row r="78" spans="1:23" s="27" customFormat="1" ht="14.45" customHeight="1" x14ac:dyDescent="0.25">
      <c r="A78" s="3" t="s">
        <v>667</v>
      </c>
      <c r="B78" s="492" t="s">
        <v>744</v>
      </c>
      <c r="C78" s="217"/>
      <c r="D78" s="217"/>
      <c r="E78" s="218"/>
      <c r="F78" s="218"/>
      <c r="G78" s="218"/>
      <c r="H78" s="218"/>
      <c r="I78" s="219"/>
      <c r="J78" s="219"/>
      <c r="K78" s="219"/>
      <c r="L78" s="220">
        <v>1</v>
      </c>
      <c r="M78" s="220">
        <f t="shared" si="9"/>
        <v>1</v>
      </c>
      <c r="N78" s="220"/>
      <c r="O78" s="220"/>
      <c r="P78" s="220">
        <v>1</v>
      </c>
      <c r="Q78" s="220"/>
      <c r="R78" s="220">
        <f t="shared" si="10"/>
        <v>1</v>
      </c>
      <c r="S78" s="220"/>
      <c r="T78" s="220"/>
      <c r="U78" s="497">
        <f t="shared" si="11"/>
        <v>1</v>
      </c>
      <c r="V78" s="497"/>
      <c r="W78" s="497">
        <f t="shared" si="12"/>
        <v>1</v>
      </c>
    </row>
    <row r="79" spans="1:23" s="27" customFormat="1" ht="14.45" customHeight="1" x14ac:dyDescent="0.25">
      <c r="A79" s="3" t="s">
        <v>125</v>
      </c>
      <c r="B79" s="498" t="s">
        <v>745</v>
      </c>
      <c r="C79" s="217"/>
      <c r="D79" s="217"/>
      <c r="E79" s="218"/>
      <c r="F79" s="218"/>
      <c r="G79" s="218"/>
      <c r="H79" s="218"/>
      <c r="I79" s="219"/>
      <c r="J79" s="219"/>
      <c r="K79" s="219"/>
      <c r="L79" s="220"/>
      <c r="M79" s="220"/>
      <c r="N79" s="220"/>
      <c r="O79" s="220"/>
      <c r="P79" s="220"/>
      <c r="Q79" s="220"/>
      <c r="R79" s="220"/>
      <c r="S79" s="220"/>
      <c r="T79" s="220"/>
      <c r="U79" s="497"/>
      <c r="V79" s="497"/>
      <c r="W79" s="497"/>
    </row>
    <row r="80" spans="1:23" s="27" customFormat="1" ht="14.45" customHeight="1" x14ac:dyDescent="0.25">
      <c r="A80" s="3" t="s">
        <v>693</v>
      </c>
      <c r="B80" s="492" t="s">
        <v>746</v>
      </c>
      <c r="C80" s="217"/>
      <c r="D80" s="217"/>
      <c r="E80" s="218"/>
      <c r="F80" s="218"/>
      <c r="G80" s="218"/>
      <c r="H80" s="218"/>
      <c r="I80" s="219"/>
      <c r="J80" s="219"/>
      <c r="K80" s="219"/>
      <c r="L80" s="220">
        <v>1</v>
      </c>
      <c r="M80" s="220">
        <f t="shared" ref="M80:M87" si="13">L80</f>
        <v>1</v>
      </c>
      <c r="N80" s="220"/>
      <c r="O80" s="220"/>
      <c r="P80" s="220">
        <v>1</v>
      </c>
      <c r="Q80" s="220"/>
      <c r="R80" s="220">
        <f t="shared" ref="R80:R87" si="14">E80+I80+M80</f>
        <v>1</v>
      </c>
      <c r="S80" s="220"/>
      <c r="T80" s="220"/>
      <c r="U80" s="497">
        <f t="shared" ref="U80:U87" si="15">P80+S80/2</f>
        <v>1</v>
      </c>
      <c r="V80" s="497"/>
      <c r="W80" s="497">
        <f t="shared" ref="W80:W87" si="16">R80+T80/2</f>
        <v>1</v>
      </c>
    </row>
    <row r="81" spans="1:23" s="27" customFormat="1" ht="14.45" customHeight="1" x14ac:dyDescent="0.25">
      <c r="A81" s="3" t="s">
        <v>694</v>
      </c>
      <c r="B81" s="492" t="s">
        <v>747</v>
      </c>
      <c r="C81" s="217"/>
      <c r="D81" s="217"/>
      <c r="E81" s="218"/>
      <c r="F81" s="218"/>
      <c r="G81" s="218"/>
      <c r="H81" s="218"/>
      <c r="I81" s="219"/>
      <c r="J81" s="219"/>
      <c r="K81" s="219"/>
      <c r="L81" s="220">
        <v>1</v>
      </c>
      <c r="M81" s="220">
        <f t="shared" si="13"/>
        <v>1</v>
      </c>
      <c r="N81" s="220"/>
      <c r="O81" s="220"/>
      <c r="P81" s="220">
        <v>1</v>
      </c>
      <c r="Q81" s="220"/>
      <c r="R81" s="220">
        <f t="shared" si="14"/>
        <v>1</v>
      </c>
      <c r="S81" s="220"/>
      <c r="T81" s="220"/>
      <c r="U81" s="497">
        <f t="shared" si="15"/>
        <v>1</v>
      </c>
      <c r="V81" s="497"/>
      <c r="W81" s="497">
        <f t="shared" si="16"/>
        <v>1</v>
      </c>
    </row>
    <row r="82" spans="1:23" s="27" customFormat="1" ht="14.45" customHeight="1" x14ac:dyDescent="0.25">
      <c r="A82" s="3" t="s">
        <v>128</v>
      </c>
      <c r="B82" s="492" t="s">
        <v>748</v>
      </c>
      <c r="C82" s="217"/>
      <c r="D82" s="217"/>
      <c r="E82" s="218"/>
      <c r="F82" s="218"/>
      <c r="G82" s="218"/>
      <c r="H82" s="218"/>
      <c r="I82" s="219"/>
      <c r="J82" s="219"/>
      <c r="K82" s="219"/>
      <c r="L82" s="220">
        <v>1</v>
      </c>
      <c r="M82" s="220">
        <f t="shared" si="13"/>
        <v>1</v>
      </c>
      <c r="N82" s="220"/>
      <c r="O82" s="220"/>
      <c r="P82" s="220">
        <v>1</v>
      </c>
      <c r="Q82" s="220"/>
      <c r="R82" s="220">
        <f t="shared" si="14"/>
        <v>1</v>
      </c>
      <c r="S82" s="220"/>
      <c r="T82" s="220"/>
      <c r="U82" s="497">
        <f t="shared" si="15"/>
        <v>1</v>
      </c>
      <c r="V82" s="497"/>
      <c r="W82" s="497">
        <f t="shared" si="16"/>
        <v>1</v>
      </c>
    </row>
    <row r="83" spans="1:23" s="27" customFormat="1" ht="14.45" customHeight="1" x14ac:dyDescent="0.25">
      <c r="A83" s="3" t="s">
        <v>129</v>
      </c>
      <c r="B83" s="498" t="s">
        <v>749</v>
      </c>
      <c r="C83" s="217"/>
      <c r="D83" s="217"/>
      <c r="E83" s="218"/>
      <c r="F83" s="218"/>
      <c r="G83" s="218"/>
      <c r="H83" s="218"/>
      <c r="I83" s="219"/>
      <c r="J83" s="219"/>
      <c r="K83" s="219"/>
      <c r="L83" s="220"/>
      <c r="M83" s="220">
        <f t="shared" si="13"/>
        <v>0</v>
      </c>
      <c r="N83" s="220"/>
      <c r="O83" s="220"/>
      <c r="P83" s="220"/>
      <c r="Q83" s="220"/>
      <c r="R83" s="220">
        <f t="shared" si="14"/>
        <v>0</v>
      </c>
      <c r="S83" s="220"/>
      <c r="T83" s="220"/>
      <c r="U83" s="497">
        <f t="shared" si="15"/>
        <v>0</v>
      </c>
      <c r="V83" s="497"/>
      <c r="W83" s="497">
        <f t="shared" si="16"/>
        <v>0</v>
      </c>
    </row>
    <row r="84" spans="1:23" s="27" customFormat="1" ht="14.45" customHeight="1" x14ac:dyDescent="0.25">
      <c r="A84" s="3" t="s">
        <v>130</v>
      </c>
      <c r="B84" s="492" t="s">
        <v>750</v>
      </c>
      <c r="C84" s="217"/>
      <c r="D84" s="217"/>
      <c r="E84" s="218"/>
      <c r="F84" s="218"/>
      <c r="G84" s="218"/>
      <c r="H84" s="218"/>
      <c r="I84" s="219"/>
      <c r="J84" s="219"/>
      <c r="K84" s="219"/>
      <c r="L84" s="220">
        <v>1</v>
      </c>
      <c r="M84" s="220">
        <f t="shared" si="13"/>
        <v>1</v>
      </c>
      <c r="N84" s="220"/>
      <c r="O84" s="220"/>
      <c r="P84" s="220">
        <v>1</v>
      </c>
      <c r="Q84" s="220"/>
      <c r="R84" s="220">
        <f t="shared" si="14"/>
        <v>1</v>
      </c>
      <c r="S84" s="220"/>
      <c r="T84" s="220"/>
      <c r="U84" s="497">
        <f t="shared" si="15"/>
        <v>1</v>
      </c>
      <c r="V84" s="497"/>
      <c r="W84" s="497">
        <f t="shared" si="16"/>
        <v>1</v>
      </c>
    </row>
    <row r="85" spans="1:23" s="27" customFormat="1" ht="14.45" customHeight="1" x14ac:dyDescent="0.25">
      <c r="A85" s="3" t="s">
        <v>133</v>
      </c>
      <c r="B85" s="492" t="s">
        <v>751</v>
      </c>
      <c r="C85" s="217"/>
      <c r="D85" s="217"/>
      <c r="E85" s="218"/>
      <c r="F85" s="218"/>
      <c r="G85" s="218"/>
      <c r="H85" s="218"/>
      <c r="I85" s="219"/>
      <c r="J85" s="219"/>
      <c r="K85" s="219"/>
      <c r="L85" s="220">
        <v>1</v>
      </c>
      <c r="M85" s="220">
        <f t="shared" si="13"/>
        <v>1</v>
      </c>
      <c r="N85" s="220"/>
      <c r="O85" s="220"/>
      <c r="P85" s="220">
        <v>1</v>
      </c>
      <c r="Q85" s="220"/>
      <c r="R85" s="220">
        <f t="shared" si="14"/>
        <v>1</v>
      </c>
      <c r="S85" s="220"/>
      <c r="T85" s="220"/>
      <c r="U85" s="497">
        <f t="shared" si="15"/>
        <v>1</v>
      </c>
      <c r="V85" s="497"/>
      <c r="W85" s="497">
        <f t="shared" si="16"/>
        <v>1</v>
      </c>
    </row>
    <row r="86" spans="1:23" s="27" customFormat="1" ht="14.45" customHeight="1" x14ac:dyDescent="0.25">
      <c r="A86" s="3" t="s">
        <v>136</v>
      </c>
      <c r="B86" s="492" t="s">
        <v>752</v>
      </c>
      <c r="C86" s="217"/>
      <c r="D86" s="217"/>
      <c r="E86" s="218"/>
      <c r="F86" s="218"/>
      <c r="G86" s="218"/>
      <c r="H86" s="218"/>
      <c r="I86" s="219"/>
      <c r="J86" s="219"/>
      <c r="K86" s="219"/>
      <c r="L86" s="220">
        <v>3</v>
      </c>
      <c r="M86" s="220">
        <f t="shared" si="13"/>
        <v>3</v>
      </c>
      <c r="N86" s="220"/>
      <c r="O86" s="220"/>
      <c r="P86" s="220">
        <v>3</v>
      </c>
      <c r="Q86" s="220"/>
      <c r="R86" s="220">
        <f t="shared" si="14"/>
        <v>3</v>
      </c>
      <c r="S86" s="220"/>
      <c r="T86" s="220"/>
      <c r="U86" s="497">
        <f t="shared" si="15"/>
        <v>3</v>
      </c>
      <c r="V86" s="497"/>
      <c r="W86" s="497">
        <f t="shared" si="16"/>
        <v>3</v>
      </c>
    </row>
    <row r="87" spans="1:23" s="27" customFormat="1" ht="14.45" customHeight="1" x14ac:dyDescent="0.25">
      <c r="A87" s="3" t="s">
        <v>137</v>
      </c>
      <c r="B87" s="492" t="s">
        <v>958</v>
      </c>
      <c r="C87" s="217"/>
      <c r="D87" s="217"/>
      <c r="E87" s="218"/>
      <c r="F87" s="218"/>
      <c r="G87" s="218"/>
      <c r="H87" s="218"/>
      <c r="I87" s="219"/>
      <c r="J87" s="219"/>
      <c r="K87" s="219"/>
      <c r="L87" s="220">
        <v>1</v>
      </c>
      <c r="M87" s="220">
        <f t="shared" si="13"/>
        <v>1</v>
      </c>
      <c r="N87" s="220"/>
      <c r="O87" s="220"/>
      <c r="P87" s="220">
        <v>1</v>
      </c>
      <c r="Q87" s="220"/>
      <c r="R87" s="220">
        <f t="shared" si="14"/>
        <v>1</v>
      </c>
      <c r="S87" s="220"/>
      <c r="T87" s="220"/>
      <c r="U87" s="497">
        <f t="shared" si="15"/>
        <v>1</v>
      </c>
      <c r="V87" s="497"/>
      <c r="W87" s="497">
        <f t="shared" si="16"/>
        <v>1</v>
      </c>
    </row>
    <row r="88" spans="1:23" s="27" customFormat="1" ht="14.45" customHeight="1" x14ac:dyDescent="0.25">
      <c r="A88" s="3" t="s">
        <v>138</v>
      </c>
      <c r="B88" s="498" t="s">
        <v>753</v>
      </c>
      <c r="C88" s="217"/>
      <c r="D88" s="217"/>
      <c r="E88" s="218"/>
      <c r="F88" s="218"/>
      <c r="G88" s="218"/>
      <c r="H88" s="218"/>
      <c r="I88" s="219"/>
      <c r="J88" s="219"/>
      <c r="K88" s="219"/>
      <c r="L88" s="220"/>
      <c r="M88" s="220"/>
      <c r="N88" s="220"/>
      <c r="O88" s="220"/>
      <c r="P88" s="220"/>
      <c r="Q88" s="220"/>
      <c r="R88" s="220"/>
      <c r="S88" s="220"/>
      <c r="T88" s="220"/>
      <c r="U88" s="497"/>
      <c r="V88" s="497"/>
      <c r="W88" s="497"/>
    </row>
    <row r="89" spans="1:23" s="27" customFormat="1" ht="14.45" customHeight="1" x14ac:dyDescent="0.25">
      <c r="A89" s="3" t="s">
        <v>139</v>
      </c>
      <c r="B89" s="492" t="s">
        <v>754</v>
      </c>
      <c r="C89" s="217"/>
      <c r="D89" s="217"/>
      <c r="E89" s="218"/>
      <c r="F89" s="218"/>
      <c r="G89" s="218"/>
      <c r="H89" s="218"/>
      <c r="I89" s="219"/>
      <c r="J89" s="219"/>
      <c r="K89" s="219"/>
      <c r="L89" s="220">
        <v>1</v>
      </c>
      <c r="M89" s="220">
        <f>L89</f>
        <v>1</v>
      </c>
      <c r="N89" s="220"/>
      <c r="O89" s="220"/>
      <c r="P89" s="220">
        <v>1</v>
      </c>
      <c r="Q89" s="220"/>
      <c r="R89" s="220">
        <f>E89+I89+M89</f>
        <v>1</v>
      </c>
      <c r="S89" s="220"/>
      <c r="T89" s="220"/>
      <c r="U89" s="497">
        <f>P89+S89/2</f>
        <v>1</v>
      </c>
      <c r="V89" s="497"/>
      <c r="W89" s="497">
        <f>R89+T89/2</f>
        <v>1</v>
      </c>
    </row>
    <row r="90" spans="1:23" s="27" customFormat="1" ht="14.45" customHeight="1" x14ac:dyDescent="0.25">
      <c r="A90" s="3" t="s">
        <v>142</v>
      </c>
      <c r="B90" s="492" t="s">
        <v>755</v>
      </c>
      <c r="C90" s="217"/>
      <c r="D90" s="217"/>
      <c r="E90" s="218"/>
      <c r="F90" s="218"/>
      <c r="G90" s="218"/>
      <c r="H90" s="218"/>
      <c r="I90" s="219"/>
      <c r="J90" s="219"/>
      <c r="K90" s="219"/>
      <c r="L90" s="220">
        <v>2</v>
      </c>
      <c r="M90" s="220">
        <f>L90</f>
        <v>2</v>
      </c>
      <c r="N90" s="220"/>
      <c r="O90" s="220"/>
      <c r="P90" s="220">
        <v>2</v>
      </c>
      <c r="Q90" s="220"/>
      <c r="R90" s="220">
        <f>E90+I90+M90</f>
        <v>2</v>
      </c>
      <c r="S90" s="220"/>
      <c r="T90" s="220"/>
      <c r="U90" s="497">
        <f>P90+S90/2</f>
        <v>2</v>
      </c>
      <c r="V90" s="497"/>
      <c r="W90" s="497">
        <f>R90+T90/2</f>
        <v>2</v>
      </c>
    </row>
    <row r="91" spans="1:23" s="27" customFormat="1" ht="14.45" customHeight="1" x14ac:dyDescent="0.25">
      <c r="A91" s="3" t="s">
        <v>145</v>
      </c>
      <c r="B91" s="492" t="s">
        <v>756</v>
      </c>
      <c r="C91" s="217"/>
      <c r="D91" s="217"/>
      <c r="E91" s="218"/>
      <c r="F91" s="218"/>
      <c r="G91" s="218"/>
      <c r="H91" s="218"/>
      <c r="I91" s="219"/>
      <c r="J91" s="219"/>
      <c r="K91" s="219"/>
      <c r="L91" s="220">
        <v>1</v>
      </c>
      <c r="M91" s="220">
        <f>L91</f>
        <v>1</v>
      </c>
      <c r="N91" s="220"/>
      <c r="O91" s="220"/>
      <c r="P91" s="220">
        <v>1</v>
      </c>
      <c r="Q91" s="220"/>
      <c r="R91" s="220">
        <f>E91+I91+M91</f>
        <v>1</v>
      </c>
      <c r="S91" s="220"/>
      <c r="T91" s="220"/>
      <c r="U91" s="497">
        <f>P91+S91/2</f>
        <v>1</v>
      </c>
      <c r="V91" s="497"/>
      <c r="W91" s="497">
        <f>R91+T91/2</f>
        <v>1</v>
      </c>
    </row>
    <row r="92" spans="1:23" s="27" customFormat="1" ht="14.45" customHeight="1" x14ac:dyDescent="0.25">
      <c r="A92" s="3" t="s">
        <v>148</v>
      </c>
      <c r="B92" s="740" t="s">
        <v>1202</v>
      </c>
      <c r="C92" s="741"/>
      <c r="D92" s="741"/>
      <c r="E92" s="742"/>
      <c r="F92" s="742"/>
      <c r="G92" s="742"/>
      <c r="H92" s="742"/>
      <c r="I92" s="743"/>
      <c r="J92" s="743"/>
      <c r="K92" s="743"/>
      <c r="L92" s="744">
        <v>0.5</v>
      </c>
      <c r="M92" s="744">
        <f>L92</f>
        <v>0.5</v>
      </c>
      <c r="N92" s="744"/>
      <c r="O92" s="744"/>
      <c r="P92" s="744">
        <f>L92+N92</f>
        <v>0.5</v>
      </c>
      <c r="Q92" s="744"/>
      <c r="R92" s="744">
        <f>E92+I92+M92</f>
        <v>0.5</v>
      </c>
      <c r="S92" s="744"/>
      <c r="T92" s="744"/>
      <c r="U92" s="745">
        <f>P92+S92</f>
        <v>0.5</v>
      </c>
      <c r="V92" s="746"/>
      <c r="W92" s="747">
        <f>R92+T92/2</f>
        <v>0.5</v>
      </c>
    </row>
    <row r="93" spans="1:23" s="27" customFormat="1" ht="14.45" customHeight="1" x14ac:dyDescent="0.25">
      <c r="A93" s="3" t="s">
        <v>149</v>
      </c>
      <c r="B93" s="213" t="s">
        <v>757</v>
      </c>
      <c r="C93" s="217"/>
      <c r="D93" s="217"/>
      <c r="E93" s="218"/>
      <c r="F93" s="218"/>
      <c r="G93" s="218"/>
      <c r="H93" s="218"/>
      <c r="I93" s="219"/>
      <c r="J93" s="219"/>
      <c r="K93" s="219"/>
      <c r="L93" s="220">
        <f>SUM(L70:L92)</f>
        <v>23.5</v>
      </c>
      <c r="M93" s="220">
        <f>L93</f>
        <v>23.5</v>
      </c>
      <c r="N93" s="220">
        <f>SUM(N70:N91)</f>
        <v>0</v>
      </c>
      <c r="O93" s="220">
        <f>SUM(O70:O91)</f>
        <v>0</v>
      </c>
      <c r="P93" s="220">
        <f>SUM(P70:P92)</f>
        <v>23.5</v>
      </c>
      <c r="Q93" s="220"/>
      <c r="R93" s="220">
        <f>E93+I93+M93</f>
        <v>23.5</v>
      </c>
      <c r="S93" s="220">
        <f>SUM(S70:S91)</f>
        <v>0</v>
      </c>
      <c r="T93" s="220">
        <f>SUM(T70:T91)</f>
        <v>0</v>
      </c>
      <c r="U93" s="593">
        <f>P93+S93/2</f>
        <v>23.5</v>
      </c>
      <c r="V93" s="651">
        <v>0</v>
      </c>
      <c r="W93" s="593">
        <f>SUM(W70:W92)</f>
        <v>23.5</v>
      </c>
    </row>
    <row r="94" spans="1:23" s="27" customFormat="1" ht="14.45" customHeight="1" x14ac:dyDescent="0.25">
      <c r="A94" s="3"/>
      <c r="B94" s="493"/>
      <c r="C94" s="576"/>
      <c r="D94" s="576"/>
      <c r="E94" s="577"/>
      <c r="F94" s="577"/>
      <c r="G94" s="577"/>
      <c r="H94" s="577"/>
      <c r="I94" s="578"/>
      <c r="J94" s="578"/>
      <c r="K94" s="578"/>
      <c r="L94" s="579"/>
      <c r="M94" s="579"/>
      <c r="N94" s="579"/>
      <c r="O94" s="579"/>
      <c r="P94" s="579"/>
      <c r="Q94" s="579"/>
      <c r="R94" s="579"/>
      <c r="S94" s="579"/>
      <c r="T94" s="579"/>
      <c r="U94" s="580"/>
      <c r="V94" s="579"/>
      <c r="W94" s="579"/>
    </row>
    <row r="95" spans="1:23" s="27" customFormat="1" ht="14.45" customHeight="1" x14ac:dyDescent="0.25">
      <c r="A95" s="3"/>
      <c r="B95" s="74"/>
      <c r="C95" s="68"/>
      <c r="D95" s="68"/>
      <c r="E95" s="51"/>
      <c r="F95" s="51"/>
      <c r="G95" s="51"/>
      <c r="H95" s="51"/>
      <c r="I95" s="69"/>
      <c r="J95" s="69"/>
      <c r="K95" s="69"/>
      <c r="L95" s="52"/>
      <c r="M95" s="52"/>
      <c r="N95" s="52"/>
      <c r="O95" s="52"/>
      <c r="P95" s="52"/>
      <c r="Q95" s="52"/>
      <c r="R95" s="52"/>
      <c r="S95" s="52"/>
      <c r="T95" s="52"/>
      <c r="U95" s="215"/>
      <c r="V95" s="52"/>
      <c r="W95" s="52"/>
    </row>
    <row r="96" spans="1:23" s="27" customFormat="1" ht="14.45" customHeight="1" x14ac:dyDescent="0.25">
      <c r="A96" s="3"/>
      <c r="B96" s="74"/>
      <c r="C96" s="68"/>
      <c r="D96" s="68"/>
      <c r="E96" s="51"/>
      <c r="F96" s="51"/>
      <c r="G96" s="51"/>
      <c r="H96" s="51"/>
      <c r="I96" s="69"/>
      <c r="J96" s="69"/>
      <c r="K96" s="69"/>
      <c r="L96" s="52"/>
      <c r="M96" s="52"/>
      <c r="N96" s="52"/>
      <c r="O96" s="52"/>
      <c r="P96" s="52"/>
      <c r="Q96" s="52"/>
      <c r="R96" s="52"/>
      <c r="S96" s="52"/>
      <c r="T96" s="52"/>
      <c r="U96" s="215"/>
      <c r="V96" s="52"/>
      <c r="W96" s="52"/>
    </row>
    <row r="97" spans="1:241" s="27" customFormat="1" ht="14.45" customHeight="1" x14ac:dyDescent="0.25">
      <c r="A97" s="214" t="s">
        <v>152</v>
      </c>
      <c r="B97" s="74" t="s">
        <v>546</v>
      </c>
      <c r="C97" s="68"/>
      <c r="D97" s="68"/>
      <c r="E97" s="51"/>
      <c r="F97" s="51"/>
      <c r="G97" s="51"/>
      <c r="H97" s="51"/>
      <c r="I97" s="69"/>
      <c r="J97" s="69"/>
      <c r="K97" s="69"/>
      <c r="L97" s="52"/>
      <c r="M97" s="52"/>
      <c r="N97" s="52"/>
      <c r="O97" s="52"/>
      <c r="P97" s="52"/>
      <c r="Q97" s="52"/>
      <c r="R97" s="52"/>
      <c r="S97" s="52"/>
      <c r="T97" s="52"/>
      <c r="U97" s="215"/>
      <c r="V97" s="52"/>
      <c r="W97" s="52"/>
    </row>
    <row r="98" spans="1:241" s="27" customFormat="1" ht="14.45" customHeight="1" x14ac:dyDescent="0.25">
      <c r="A98" s="214" t="s">
        <v>153</v>
      </c>
      <c r="B98" s="216" t="s">
        <v>550</v>
      </c>
      <c r="C98" s="217"/>
      <c r="D98" s="217"/>
      <c r="E98" s="218"/>
      <c r="F98" s="218"/>
      <c r="G98" s="218"/>
      <c r="H98" s="218"/>
      <c r="I98" s="219"/>
      <c r="J98" s="219"/>
      <c r="K98" s="219"/>
      <c r="L98" s="219">
        <v>13</v>
      </c>
      <c r="M98" s="219">
        <f>L98</f>
        <v>13</v>
      </c>
      <c r="N98" s="220"/>
      <c r="O98" s="220"/>
      <c r="P98" s="219">
        <f>L98</f>
        <v>13</v>
      </c>
      <c r="Q98" s="220"/>
      <c r="R98" s="220">
        <f>M98+I98+E98</f>
        <v>13</v>
      </c>
      <c r="S98" s="220"/>
      <c r="T98" s="220"/>
      <c r="U98" s="219">
        <f>P98+S98/2</f>
        <v>13</v>
      </c>
      <c r="V98" s="220"/>
      <c r="W98" s="220">
        <f>R98+T98/2</f>
        <v>13</v>
      </c>
    </row>
    <row r="99" spans="1:241" s="27" customFormat="1" ht="14.45" customHeight="1" x14ac:dyDescent="0.25">
      <c r="A99" s="214" t="s">
        <v>154</v>
      </c>
      <c r="B99" s="216" t="s">
        <v>551</v>
      </c>
      <c r="C99" s="217"/>
      <c r="D99" s="217"/>
      <c r="E99" s="218"/>
      <c r="F99" s="218"/>
      <c r="G99" s="218"/>
      <c r="H99" s="218"/>
      <c r="I99" s="219"/>
      <c r="J99" s="219"/>
      <c r="K99" s="219"/>
      <c r="L99" s="219">
        <v>8</v>
      </c>
      <c r="M99" s="219">
        <f>L99</f>
        <v>8</v>
      </c>
      <c r="N99" s="220"/>
      <c r="O99" s="220"/>
      <c r="P99" s="219">
        <f>L99</f>
        <v>8</v>
      </c>
      <c r="Q99" s="220"/>
      <c r="R99" s="220">
        <f>P99+Q99</f>
        <v>8</v>
      </c>
      <c r="S99" s="220"/>
      <c r="T99" s="220"/>
      <c r="U99" s="219">
        <f>P99+S99/2</f>
        <v>8</v>
      </c>
      <c r="V99" s="220"/>
      <c r="W99" s="220">
        <f>R99+T99/2</f>
        <v>8</v>
      </c>
    </row>
    <row r="100" spans="1:241" s="27" customFormat="1" ht="14.45" customHeight="1" x14ac:dyDescent="0.25">
      <c r="A100" s="214" t="s">
        <v>155</v>
      </c>
      <c r="B100" s="216" t="s">
        <v>552</v>
      </c>
      <c r="C100" s="217"/>
      <c r="D100" s="217"/>
      <c r="E100" s="218"/>
      <c r="F100" s="218"/>
      <c r="G100" s="218"/>
      <c r="H100" s="218"/>
      <c r="I100" s="219"/>
      <c r="J100" s="219"/>
      <c r="K100" s="219"/>
      <c r="L100" s="219">
        <v>3</v>
      </c>
      <c r="M100" s="219">
        <f>L100</f>
        <v>3</v>
      </c>
      <c r="N100" s="220"/>
      <c r="O100" s="220"/>
      <c r="P100" s="219">
        <v>3</v>
      </c>
      <c r="Q100" s="220"/>
      <c r="R100" s="220">
        <v>3</v>
      </c>
      <c r="S100" s="220"/>
      <c r="T100" s="220"/>
      <c r="U100" s="219">
        <f>P100+S100/2</f>
        <v>3</v>
      </c>
      <c r="V100" s="220"/>
      <c r="W100" s="220">
        <f>R100+T100/2</f>
        <v>3</v>
      </c>
    </row>
    <row r="101" spans="1:241" s="27" customFormat="1" ht="14.45" customHeight="1" x14ac:dyDescent="0.25">
      <c r="A101" s="214" t="s">
        <v>156</v>
      </c>
      <c r="B101" s="221" t="s">
        <v>553</v>
      </c>
      <c r="C101" s="222"/>
      <c r="D101" s="222"/>
      <c r="E101" s="223"/>
      <c r="F101" s="223"/>
      <c r="G101" s="223"/>
      <c r="H101" s="223"/>
      <c r="I101" s="219"/>
      <c r="J101" s="219"/>
      <c r="K101" s="219"/>
      <c r="L101" s="220">
        <f>L98+L99+L100</f>
        <v>24</v>
      </c>
      <c r="M101" s="220">
        <f>L101</f>
        <v>24</v>
      </c>
      <c r="N101" s="220">
        <v>0</v>
      </c>
      <c r="O101" s="220">
        <f>O98+O99+O100</f>
        <v>0</v>
      </c>
      <c r="P101" s="220">
        <f>P98+P99+P100</f>
        <v>24</v>
      </c>
      <c r="Q101" s="220"/>
      <c r="R101" s="220">
        <f>R98+R99+R100</f>
        <v>24</v>
      </c>
      <c r="S101" s="220">
        <f>S98+S99+S100</f>
        <v>0</v>
      </c>
      <c r="T101" s="220">
        <f>T98+T99+T100</f>
        <v>0</v>
      </c>
      <c r="U101" s="593">
        <f>P101+S101/2</f>
        <v>24</v>
      </c>
      <c r="V101" s="651">
        <v>0</v>
      </c>
      <c r="W101" s="593">
        <f>R101+T101/2</f>
        <v>24</v>
      </c>
    </row>
    <row r="102" spans="1:241" ht="15.75" customHeight="1" x14ac:dyDescent="0.25">
      <c r="A102" s="214"/>
      <c r="B102" s="581"/>
      <c r="C102" s="582"/>
      <c r="D102" s="582"/>
      <c r="E102" s="583"/>
      <c r="F102" s="583"/>
      <c r="G102" s="583"/>
      <c r="H102" s="583"/>
      <c r="I102" s="584"/>
      <c r="J102" s="584"/>
      <c r="K102" s="584"/>
      <c r="L102" s="585"/>
      <c r="M102" s="585"/>
      <c r="N102" s="585"/>
      <c r="O102" s="585"/>
      <c r="P102" s="585"/>
      <c r="Q102" s="585"/>
      <c r="R102" s="585"/>
      <c r="S102" s="585"/>
      <c r="T102" s="585"/>
      <c r="U102" s="585"/>
      <c r="V102" s="585"/>
      <c r="W102" s="586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  <c r="BE102" s="27"/>
      <c r="BF102" s="27"/>
      <c r="BG102" s="27"/>
      <c r="BH102" s="27"/>
      <c r="BI102" s="27"/>
      <c r="BJ102" s="27"/>
      <c r="BK102" s="27"/>
      <c r="BL102" s="27"/>
      <c r="BM102" s="27"/>
      <c r="BN102" s="27"/>
      <c r="BO102" s="27"/>
      <c r="BP102" s="27"/>
      <c r="BQ102" s="27"/>
      <c r="BR102" s="27"/>
      <c r="BS102" s="27"/>
      <c r="BT102" s="27"/>
      <c r="BU102" s="27"/>
      <c r="BV102" s="27"/>
      <c r="BW102" s="27"/>
      <c r="BX102" s="27"/>
      <c r="BY102" s="27"/>
      <c r="BZ102" s="27"/>
      <c r="CA102" s="27"/>
      <c r="CB102" s="27"/>
      <c r="CC102" s="27"/>
      <c r="CD102" s="27"/>
      <c r="CE102" s="27"/>
      <c r="CF102" s="27"/>
      <c r="CG102" s="27"/>
      <c r="CH102" s="27"/>
      <c r="CI102" s="27"/>
      <c r="CJ102" s="27"/>
      <c r="CK102" s="27"/>
      <c r="CL102" s="27"/>
      <c r="CM102" s="27"/>
      <c r="CN102" s="27"/>
      <c r="CO102" s="27"/>
      <c r="CP102" s="27"/>
      <c r="CQ102" s="27"/>
      <c r="CR102" s="27"/>
      <c r="CS102" s="27"/>
      <c r="CT102" s="27"/>
      <c r="CU102" s="27"/>
      <c r="CV102" s="27"/>
      <c r="CW102" s="27"/>
      <c r="CX102" s="27"/>
      <c r="CY102" s="27"/>
      <c r="CZ102" s="27"/>
      <c r="DA102" s="27"/>
      <c r="DB102" s="27"/>
      <c r="DC102" s="27"/>
      <c r="DD102" s="27"/>
      <c r="DE102" s="27"/>
      <c r="DF102" s="27"/>
      <c r="DG102" s="27"/>
      <c r="DH102" s="27"/>
      <c r="DI102" s="27"/>
      <c r="DJ102" s="27"/>
      <c r="DK102" s="27"/>
      <c r="DL102" s="27"/>
      <c r="DM102" s="27"/>
      <c r="DN102" s="27"/>
      <c r="DO102" s="27"/>
      <c r="DP102" s="27"/>
      <c r="DQ102" s="27"/>
      <c r="DR102" s="27"/>
      <c r="DS102" s="27"/>
      <c r="DT102" s="27"/>
      <c r="DU102" s="27"/>
      <c r="DV102" s="27"/>
      <c r="DW102" s="27"/>
      <c r="DX102" s="27"/>
      <c r="DY102" s="27"/>
      <c r="DZ102" s="27"/>
      <c r="EA102" s="27"/>
      <c r="EB102" s="27"/>
      <c r="EC102" s="27"/>
      <c r="ED102" s="27"/>
      <c r="EE102" s="27"/>
      <c r="EF102" s="27"/>
      <c r="EG102" s="27"/>
      <c r="EH102" s="27"/>
      <c r="EI102" s="27"/>
      <c r="EJ102" s="27"/>
      <c r="EK102" s="27"/>
      <c r="EL102" s="27"/>
      <c r="EM102" s="27"/>
      <c r="EN102" s="27"/>
      <c r="EO102" s="27"/>
      <c r="EP102" s="27"/>
      <c r="EQ102" s="27"/>
      <c r="ER102" s="27"/>
      <c r="ES102" s="27"/>
      <c r="ET102" s="27"/>
      <c r="EU102" s="27"/>
      <c r="EV102" s="27"/>
      <c r="EW102" s="27"/>
      <c r="EX102" s="27"/>
      <c r="EY102" s="27"/>
      <c r="EZ102" s="27"/>
      <c r="FA102" s="27"/>
      <c r="FB102" s="27"/>
      <c r="FC102" s="27"/>
      <c r="FD102" s="27"/>
      <c r="FE102" s="27"/>
      <c r="FF102" s="27"/>
      <c r="FG102" s="27"/>
      <c r="FH102" s="27"/>
      <c r="FI102" s="27"/>
      <c r="FJ102" s="27"/>
      <c r="FK102" s="27"/>
      <c r="FL102" s="27"/>
      <c r="FM102" s="27"/>
      <c r="FN102" s="27"/>
      <c r="FO102" s="27"/>
      <c r="FP102" s="27"/>
      <c r="FQ102" s="27"/>
      <c r="FR102" s="27"/>
      <c r="FS102" s="27"/>
      <c r="FT102" s="27"/>
      <c r="FU102" s="27"/>
      <c r="FV102" s="27"/>
      <c r="FW102" s="27"/>
      <c r="FX102" s="27"/>
      <c r="FY102" s="27"/>
      <c r="FZ102" s="27"/>
      <c r="GA102" s="27"/>
      <c r="GB102" s="27"/>
      <c r="GC102" s="27"/>
      <c r="GD102" s="27"/>
      <c r="GE102" s="27"/>
      <c r="GF102" s="27"/>
      <c r="GG102" s="27"/>
      <c r="GH102" s="27"/>
      <c r="GI102" s="27"/>
      <c r="GJ102" s="27"/>
      <c r="GK102" s="27"/>
      <c r="GL102" s="27"/>
      <c r="GM102" s="27"/>
      <c r="GN102" s="27"/>
      <c r="GO102" s="27"/>
      <c r="GP102" s="27"/>
      <c r="GQ102" s="27"/>
      <c r="GR102" s="27"/>
      <c r="GS102" s="27"/>
      <c r="GT102" s="27"/>
      <c r="GU102" s="27"/>
      <c r="GV102" s="27"/>
      <c r="GW102" s="27"/>
      <c r="GX102" s="27"/>
      <c r="GY102" s="27"/>
      <c r="GZ102" s="27"/>
      <c r="HA102" s="27"/>
      <c r="HB102" s="27"/>
      <c r="HC102" s="27"/>
      <c r="HD102" s="27"/>
      <c r="HE102" s="27"/>
      <c r="HF102" s="27"/>
      <c r="HG102" s="27"/>
      <c r="HH102" s="27"/>
      <c r="HI102" s="27"/>
      <c r="HJ102" s="27"/>
      <c r="HK102" s="27"/>
      <c r="HL102" s="27"/>
      <c r="HM102" s="27"/>
      <c r="HN102" s="27"/>
      <c r="HO102" s="27"/>
      <c r="HP102" s="27"/>
      <c r="HQ102" s="27"/>
      <c r="HR102" s="27"/>
      <c r="HS102" s="27"/>
      <c r="HT102" s="27"/>
      <c r="HU102" s="27"/>
      <c r="HV102" s="27"/>
      <c r="HW102" s="27"/>
      <c r="HX102" s="27"/>
      <c r="HY102" s="27"/>
      <c r="HZ102" s="27"/>
      <c r="IA102" s="27"/>
      <c r="IB102" s="27"/>
      <c r="IC102" s="27"/>
      <c r="ID102" s="27"/>
      <c r="IE102" s="27"/>
      <c r="IF102" s="27"/>
      <c r="IG102" s="27"/>
    </row>
    <row r="103" spans="1:241" s="27" customFormat="1" ht="14.45" customHeight="1" x14ac:dyDescent="0.25">
      <c r="A103" s="214"/>
      <c r="B103" s="49"/>
      <c r="C103" s="50"/>
      <c r="D103" s="50"/>
      <c r="E103" s="51"/>
      <c r="F103" s="51"/>
      <c r="G103" s="51"/>
      <c r="H103" s="51"/>
      <c r="I103" s="69"/>
      <c r="J103" s="69"/>
      <c r="K103" s="69"/>
      <c r="L103" s="69"/>
      <c r="M103" s="69"/>
      <c r="N103" s="69"/>
      <c r="O103" s="69"/>
      <c r="P103" s="69"/>
      <c r="Q103" s="69"/>
      <c r="R103" s="56"/>
      <c r="S103" s="56"/>
      <c r="T103" s="56"/>
      <c r="U103" s="56"/>
      <c r="V103" s="56"/>
      <c r="W103" s="56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14"/>
      <c r="BY103" s="14"/>
      <c r="BZ103" s="14"/>
      <c r="CA103" s="14"/>
      <c r="CB103" s="14"/>
      <c r="CC103" s="14"/>
      <c r="CD103" s="14"/>
      <c r="CE103" s="14"/>
      <c r="CF103" s="14"/>
      <c r="CG103" s="14"/>
      <c r="CH103" s="14"/>
      <c r="CI103" s="14"/>
      <c r="CJ103" s="14"/>
      <c r="CK103" s="14"/>
      <c r="CL103" s="14"/>
      <c r="CM103" s="14"/>
      <c r="CN103" s="14"/>
      <c r="CO103" s="14"/>
      <c r="CP103" s="14"/>
      <c r="CQ103" s="14"/>
      <c r="CR103" s="14"/>
      <c r="CS103" s="14"/>
      <c r="CT103" s="14"/>
      <c r="CU103" s="14"/>
      <c r="CV103" s="14"/>
      <c r="CW103" s="14"/>
      <c r="CX103" s="14"/>
      <c r="CY103" s="14"/>
      <c r="CZ103" s="14"/>
      <c r="DA103" s="14"/>
      <c r="DB103" s="14"/>
      <c r="DC103" s="14"/>
      <c r="DD103" s="14"/>
      <c r="DE103" s="14"/>
      <c r="DF103" s="14"/>
      <c r="DG103" s="14"/>
      <c r="DH103" s="14"/>
      <c r="DI103" s="14"/>
      <c r="DJ103" s="14"/>
      <c r="DK103" s="14"/>
      <c r="DL103" s="14"/>
      <c r="DM103" s="14"/>
      <c r="DN103" s="14"/>
      <c r="DO103" s="14"/>
      <c r="DP103" s="14"/>
      <c r="DQ103" s="14"/>
      <c r="DR103" s="14"/>
      <c r="DS103" s="14"/>
      <c r="DT103" s="14"/>
      <c r="DU103" s="14"/>
      <c r="DV103" s="14"/>
      <c r="DW103" s="14"/>
      <c r="DX103" s="14"/>
      <c r="DY103" s="14"/>
      <c r="DZ103" s="14"/>
      <c r="EA103" s="14"/>
      <c r="EB103" s="14"/>
      <c r="EC103" s="14"/>
      <c r="ED103" s="14"/>
      <c r="EE103" s="14"/>
      <c r="EF103" s="14"/>
      <c r="EG103" s="14"/>
      <c r="EH103" s="14"/>
      <c r="EI103" s="14"/>
      <c r="EJ103" s="14"/>
      <c r="EK103" s="14"/>
      <c r="EL103" s="14"/>
      <c r="EM103" s="14"/>
      <c r="EN103" s="14"/>
      <c r="EO103" s="14"/>
      <c r="EP103" s="14"/>
      <c r="EQ103" s="14"/>
      <c r="ER103" s="14"/>
      <c r="ES103" s="14"/>
      <c r="ET103" s="14"/>
      <c r="EU103" s="14"/>
      <c r="EV103" s="14"/>
      <c r="EW103" s="14"/>
      <c r="EX103" s="14"/>
      <c r="EY103" s="14"/>
      <c r="EZ103" s="14"/>
      <c r="FA103" s="14"/>
      <c r="FB103" s="14"/>
      <c r="FC103" s="14"/>
      <c r="FD103" s="14"/>
      <c r="FE103" s="14"/>
      <c r="FF103" s="14"/>
      <c r="FG103" s="14"/>
      <c r="FH103" s="14"/>
      <c r="FI103" s="14"/>
      <c r="FJ103" s="14"/>
      <c r="FK103" s="14"/>
      <c r="FL103" s="14"/>
      <c r="FM103" s="14"/>
      <c r="FN103" s="14"/>
      <c r="FO103" s="14"/>
      <c r="FP103" s="14"/>
      <c r="FQ103" s="14"/>
      <c r="FR103" s="14"/>
      <c r="FS103" s="14"/>
      <c r="FT103" s="14"/>
      <c r="FU103" s="14"/>
      <c r="FV103" s="14"/>
      <c r="FW103" s="14"/>
      <c r="FX103" s="14"/>
      <c r="FY103" s="14"/>
      <c r="FZ103" s="14"/>
      <c r="GA103" s="14"/>
      <c r="GB103" s="14"/>
      <c r="GC103" s="14"/>
      <c r="GD103" s="14"/>
      <c r="GE103" s="14"/>
      <c r="GF103" s="14"/>
      <c r="GG103" s="14"/>
      <c r="GH103" s="14"/>
      <c r="GI103" s="14"/>
      <c r="GJ103" s="14"/>
      <c r="GK103" s="14"/>
      <c r="GL103" s="14"/>
      <c r="GM103" s="14"/>
      <c r="GN103" s="14"/>
      <c r="GO103" s="14"/>
      <c r="GP103" s="14"/>
      <c r="GQ103" s="14"/>
      <c r="GR103" s="14"/>
      <c r="GS103" s="14"/>
      <c r="GT103" s="14"/>
      <c r="GU103" s="14"/>
      <c r="GV103" s="14"/>
      <c r="GW103" s="14"/>
      <c r="GX103" s="14"/>
      <c r="GY103" s="14"/>
      <c r="GZ103" s="14"/>
      <c r="HA103" s="14"/>
      <c r="HB103" s="14"/>
      <c r="HC103" s="14"/>
      <c r="HD103" s="14"/>
      <c r="HE103" s="14"/>
      <c r="HF103" s="14"/>
      <c r="HG103" s="14"/>
      <c r="HH103" s="14"/>
      <c r="HI103" s="14"/>
      <c r="HJ103" s="14"/>
      <c r="HK103" s="14"/>
      <c r="HL103" s="14"/>
      <c r="HM103" s="14"/>
      <c r="HN103" s="14"/>
      <c r="HO103" s="14"/>
      <c r="HP103" s="14"/>
      <c r="HQ103" s="14"/>
      <c r="HR103" s="14"/>
      <c r="HS103" s="14"/>
      <c r="HT103" s="14"/>
      <c r="HU103" s="14"/>
      <c r="HV103" s="14"/>
      <c r="HW103" s="14"/>
      <c r="HX103" s="14"/>
      <c r="HY103" s="14"/>
      <c r="HZ103" s="14"/>
      <c r="IA103" s="14"/>
      <c r="IB103" s="14"/>
      <c r="IC103" s="14"/>
      <c r="ID103" s="14"/>
      <c r="IE103" s="14"/>
      <c r="IF103" s="14"/>
      <c r="IG103" s="14"/>
    </row>
    <row r="104" spans="1:241" s="27" customFormat="1" ht="15.75" customHeight="1" x14ac:dyDescent="0.25">
      <c r="A104" s="214" t="s">
        <v>158</v>
      </c>
      <c r="B104" s="44" t="s">
        <v>721</v>
      </c>
      <c r="C104" s="45">
        <f>C24+C40+C64</f>
        <v>0</v>
      </c>
      <c r="D104" s="45"/>
      <c r="E104" s="45">
        <f>E24+E40+E64</f>
        <v>0</v>
      </c>
      <c r="F104" s="45"/>
      <c r="G104" s="45"/>
      <c r="H104" s="45">
        <f>H24+H40+H64</f>
        <v>0</v>
      </c>
      <c r="I104" s="45">
        <f>I24+I40+I64</f>
        <v>0</v>
      </c>
      <c r="J104" s="45">
        <f>J24+J40+J64</f>
        <v>0</v>
      </c>
      <c r="K104" s="45">
        <f>K24+K40+K64</f>
        <v>0</v>
      </c>
      <c r="L104" s="45">
        <f t="shared" ref="L104:W104" si="17">L24+L40+L101+L93</f>
        <v>187</v>
      </c>
      <c r="M104" s="45">
        <f t="shared" si="17"/>
        <v>187</v>
      </c>
      <c r="N104" s="45">
        <f t="shared" si="17"/>
        <v>1</v>
      </c>
      <c r="O104" s="45">
        <f t="shared" si="17"/>
        <v>1</v>
      </c>
      <c r="P104" s="45">
        <f t="shared" si="17"/>
        <v>187</v>
      </c>
      <c r="Q104" s="652">
        <f>Q101+Q93+Q40+Q24</f>
        <v>0</v>
      </c>
      <c r="R104" s="45">
        <f t="shared" si="17"/>
        <v>187</v>
      </c>
      <c r="S104" s="45">
        <f t="shared" si="17"/>
        <v>1</v>
      </c>
      <c r="T104" s="45">
        <f t="shared" si="17"/>
        <v>1</v>
      </c>
      <c r="U104" s="594">
        <f t="shared" si="17"/>
        <v>187.5</v>
      </c>
      <c r="V104" s="594">
        <f t="shared" ref="V104" si="18">V101+V93+V40+V24</f>
        <v>0</v>
      </c>
      <c r="W104" s="594">
        <f t="shared" si="17"/>
        <v>187.5</v>
      </c>
    </row>
    <row r="105" spans="1:241" s="27" customFormat="1" ht="14.45" customHeight="1" x14ac:dyDescent="0.25">
      <c r="A105" s="214"/>
      <c r="B105" s="54"/>
      <c r="C105" s="55"/>
      <c r="D105" s="55"/>
      <c r="E105" s="56"/>
      <c r="F105" s="56"/>
      <c r="G105" s="56"/>
      <c r="H105" s="56"/>
      <c r="I105" s="57"/>
      <c r="J105" s="57"/>
      <c r="K105" s="57"/>
      <c r="L105" s="57"/>
      <c r="M105" s="56"/>
      <c r="N105" s="56"/>
      <c r="O105" s="56"/>
      <c r="P105" s="56"/>
      <c r="Q105" s="52"/>
      <c r="R105" s="66"/>
      <c r="S105" s="67"/>
      <c r="T105" s="67"/>
      <c r="U105" s="396"/>
      <c r="V105" s="396"/>
      <c r="W105" s="396"/>
    </row>
    <row r="106" spans="1:241" ht="14.45" customHeight="1" x14ac:dyDescent="0.25">
      <c r="A106" s="214" t="s">
        <v>161</v>
      </c>
      <c r="B106" s="44" t="s">
        <v>637</v>
      </c>
      <c r="C106" s="73">
        <f>C10+C12+C104</f>
        <v>8</v>
      </c>
      <c r="D106" s="648">
        <f>D10+D12+D104</f>
        <v>-1</v>
      </c>
      <c r="E106" s="653">
        <f>E104+E10+E12</f>
        <v>7</v>
      </c>
      <c r="F106" s="73"/>
      <c r="G106" s="73"/>
      <c r="H106" s="73">
        <f>H10+H12+H104</f>
        <v>38</v>
      </c>
      <c r="I106" s="73">
        <f>I10+I12+I104</f>
        <v>38</v>
      </c>
      <c r="J106" s="73">
        <f>J10+J12+J104</f>
        <v>0</v>
      </c>
      <c r="K106" s="73">
        <f>K10+K12+K104</f>
        <v>0</v>
      </c>
      <c r="L106" s="397">
        <f>L104</f>
        <v>187</v>
      </c>
      <c r="M106" s="397">
        <f>M10+M12+M104</f>
        <v>187</v>
      </c>
      <c r="N106" s="397">
        <f>N10+N12+N104</f>
        <v>1</v>
      </c>
      <c r="O106" s="397">
        <f>O10+O12+O104</f>
        <v>1</v>
      </c>
      <c r="P106" s="48">
        <f>C106+H106+L106</f>
        <v>233</v>
      </c>
      <c r="Q106" s="649">
        <f>Q10+Q12+Q104</f>
        <v>-1</v>
      </c>
      <c r="R106" s="212">
        <f>R104+R12+R10</f>
        <v>232</v>
      </c>
      <c r="S106" s="410">
        <f>S10+S12+S104</f>
        <v>1</v>
      </c>
      <c r="T106" s="410">
        <f>T10+T12+T104</f>
        <v>1</v>
      </c>
      <c r="U106" s="679">
        <f>U10+U12+U104</f>
        <v>233.5</v>
      </c>
      <c r="V106" s="654">
        <f>V104+V12+V10</f>
        <v>-1</v>
      </c>
      <c r="W106" s="435">
        <f>W104+W12+W10</f>
        <v>232.5</v>
      </c>
      <c r="X106" s="472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  <c r="BE106" s="27"/>
      <c r="BF106" s="27"/>
      <c r="BG106" s="27"/>
      <c r="BH106" s="27"/>
      <c r="BI106" s="27"/>
      <c r="BJ106" s="27"/>
      <c r="BK106" s="27"/>
      <c r="BL106" s="27"/>
      <c r="BM106" s="27"/>
      <c r="BN106" s="27"/>
      <c r="BO106" s="27"/>
      <c r="BP106" s="27"/>
      <c r="BQ106" s="27"/>
      <c r="BR106" s="27"/>
      <c r="BS106" s="27"/>
      <c r="BT106" s="27"/>
      <c r="BU106" s="27"/>
      <c r="BV106" s="27"/>
      <c r="BW106" s="27"/>
      <c r="BX106" s="27"/>
      <c r="BY106" s="27"/>
      <c r="BZ106" s="27"/>
      <c r="CA106" s="27"/>
      <c r="CB106" s="27"/>
      <c r="CC106" s="27"/>
      <c r="CD106" s="27"/>
      <c r="CE106" s="27"/>
      <c r="CF106" s="27"/>
      <c r="CG106" s="27"/>
      <c r="CH106" s="27"/>
      <c r="CI106" s="27"/>
      <c r="CJ106" s="27"/>
      <c r="CK106" s="27"/>
      <c r="CL106" s="27"/>
      <c r="CM106" s="27"/>
      <c r="CN106" s="27"/>
      <c r="CO106" s="27"/>
      <c r="CP106" s="27"/>
      <c r="CQ106" s="27"/>
      <c r="CR106" s="27"/>
      <c r="CS106" s="27"/>
      <c r="CT106" s="27"/>
      <c r="CU106" s="27"/>
      <c r="CV106" s="27"/>
      <c r="CW106" s="27"/>
      <c r="CX106" s="27"/>
      <c r="CY106" s="27"/>
      <c r="CZ106" s="27"/>
      <c r="DA106" s="27"/>
      <c r="DB106" s="27"/>
      <c r="DC106" s="27"/>
      <c r="DD106" s="27"/>
      <c r="DE106" s="27"/>
      <c r="DF106" s="27"/>
      <c r="DG106" s="27"/>
      <c r="DH106" s="27"/>
      <c r="DI106" s="27"/>
      <c r="DJ106" s="27"/>
      <c r="DK106" s="27"/>
      <c r="DL106" s="27"/>
      <c r="DM106" s="27"/>
      <c r="DN106" s="27"/>
      <c r="DO106" s="27"/>
      <c r="DP106" s="27"/>
      <c r="DQ106" s="27"/>
      <c r="DR106" s="27"/>
      <c r="DS106" s="27"/>
      <c r="DT106" s="27"/>
      <c r="DU106" s="27"/>
      <c r="DV106" s="27"/>
      <c r="DW106" s="27"/>
      <c r="DX106" s="27"/>
      <c r="DY106" s="27"/>
      <c r="DZ106" s="27"/>
      <c r="EA106" s="27"/>
      <c r="EB106" s="27"/>
      <c r="EC106" s="27"/>
      <c r="ED106" s="27"/>
      <c r="EE106" s="27"/>
      <c r="EF106" s="27"/>
      <c r="EG106" s="27"/>
      <c r="EH106" s="27"/>
      <c r="EI106" s="27"/>
      <c r="EJ106" s="27"/>
      <c r="EK106" s="27"/>
      <c r="EL106" s="27"/>
      <c r="EM106" s="27"/>
      <c r="EN106" s="27"/>
      <c r="EO106" s="27"/>
      <c r="EP106" s="27"/>
      <c r="EQ106" s="27"/>
      <c r="ER106" s="27"/>
      <c r="ES106" s="27"/>
      <c r="ET106" s="27"/>
      <c r="EU106" s="27"/>
      <c r="EV106" s="27"/>
      <c r="EW106" s="27"/>
      <c r="EX106" s="27"/>
      <c r="EY106" s="27"/>
      <c r="EZ106" s="27"/>
      <c r="FA106" s="27"/>
      <c r="FB106" s="27"/>
      <c r="FC106" s="27"/>
      <c r="FD106" s="27"/>
      <c r="FE106" s="27"/>
      <c r="FF106" s="27"/>
      <c r="FG106" s="27"/>
      <c r="FH106" s="27"/>
      <c r="FI106" s="27"/>
      <c r="FJ106" s="27"/>
      <c r="FK106" s="27"/>
      <c r="FL106" s="27"/>
      <c r="FM106" s="27"/>
      <c r="FN106" s="27"/>
      <c r="FO106" s="27"/>
      <c r="FP106" s="27"/>
      <c r="FQ106" s="27"/>
      <c r="FR106" s="27"/>
      <c r="FS106" s="27"/>
      <c r="FT106" s="27"/>
      <c r="FU106" s="27"/>
      <c r="FV106" s="27"/>
      <c r="FW106" s="27"/>
      <c r="FX106" s="27"/>
      <c r="FY106" s="27"/>
      <c r="FZ106" s="27"/>
      <c r="GA106" s="27"/>
      <c r="GB106" s="27"/>
      <c r="GC106" s="27"/>
      <c r="GD106" s="27"/>
      <c r="GE106" s="27"/>
      <c r="GF106" s="27"/>
      <c r="GG106" s="27"/>
      <c r="GH106" s="27"/>
      <c r="GI106" s="27"/>
      <c r="GJ106" s="27"/>
      <c r="GK106" s="27"/>
      <c r="GL106" s="27"/>
      <c r="GM106" s="27"/>
      <c r="GN106" s="27"/>
      <c r="GO106" s="27"/>
      <c r="GP106" s="27"/>
      <c r="GQ106" s="27"/>
      <c r="GR106" s="27"/>
      <c r="GS106" s="27"/>
      <c r="GT106" s="27"/>
      <c r="GU106" s="27"/>
      <c r="GV106" s="27"/>
      <c r="GW106" s="27"/>
      <c r="GX106" s="27"/>
      <c r="GY106" s="27"/>
      <c r="GZ106" s="27"/>
      <c r="HA106" s="27"/>
      <c r="HB106" s="27"/>
      <c r="HC106" s="27"/>
      <c r="HD106" s="27"/>
      <c r="HE106" s="27"/>
      <c r="HF106" s="27"/>
      <c r="HG106" s="27"/>
      <c r="HH106" s="27"/>
      <c r="HI106" s="27"/>
      <c r="HJ106" s="27"/>
      <c r="HK106" s="27"/>
      <c r="HL106" s="27"/>
      <c r="HM106" s="27"/>
      <c r="HN106" s="27"/>
      <c r="HO106" s="27"/>
      <c r="HP106" s="27"/>
      <c r="HQ106" s="27"/>
      <c r="HR106" s="27"/>
      <c r="HS106" s="27"/>
      <c r="HT106" s="27"/>
      <c r="HU106" s="27"/>
      <c r="HV106" s="27"/>
      <c r="HW106" s="27"/>
      <c r="HX106" s="27"/>
      <c r="HY106" s="27"/>
      <c r="HZ106" s="27"/>
      <c r="IA106" s="27"/>
      <c r="IB106" s="27"/>
      <c r="IC106" s="27"/>
      <c r="ID106" s="27"/>
      <c r="IE106" s="27"/>
      <c r="IF106" s="27"/>
      <c r="IG106" s="27"/>
    </row>
    <row r="107" spans="1:241" ht="15.75" customHeight="1" x14ac:dyDescent="0.25">
      <c r="B107" s="74"/>
      <c r="C107" s="68"/>
      <c r="D107" s="68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411"/>
      <c r="Q107" s="491"/>
      <c r="R107" s="411"/>
      <c r="S107" s="491"/>
      <c r="T107" s="491"/>
      <c r="U107" s="491"/>
      <c r="V107" s="491"/>
      <c r="W107" s="491"/>
    </row>
    <row r="108" spans="1:241" ht="15.75" customHeight="1" x14ac:dyDescent="0.25">
      <c r="B108" s="1537"/>
      <c r="C108" s="1537"/>
      <c r="D108" s="1537"/>
      <c r="E108" s="1537"/>
      <c r="F108" s="1537"/>
      <c r="G108" s="1537"/>
      <c r="H108" s="1537"/>
      <c r="I108" s="1537"/>
      <c r="J108" s="1537"/>
      <c r="K108" s="1537"/>
      <c r="L108" s="1537"/>
      <c r="M108" s="411"/>
      <c r="N108" s="52"/>
      <c r="O108" s="52"/>
      <c r="P108" s="411"/>
      <c r="Q108" s="491"/>
      <c r="R108" s="411"/>
      <c r="S108" s="491"/>
      <c r="T108" s="491"/>
      <c r="U108" s="491"/>
      <c r="V108" s="491"/>
      <c r="W108" s="491"/>
      <c r="X108" s="412"/>
    </row>
    <row r="109" spans="1:241" ht="13.9" customHeight="1" x14ac:dyDescent="0.25">
      <c r="A109" s="14"/>
      <c r="B109" s="1538"/>
      <c r="C109" s="1538"/>
      <c r="D109" s="1538"/>
      <c r="E109" s="1538"/>
      <c r="F109" s="1538"/>
      <c r="G109" s="1538"/>
      <c r="H109" s="1538"/>
      <c r="I109" s="1538"/>
      <c r="J109" s="1538"/>
      <c r="K109" s="1538"/>
      <c r="L109" s="1538"/>
      <c r="M109" s="1538"/>
      <c r="N109" s="1538"/>
      <c r="O109" s="1538"/>
      <c r="P109" s="1538"/>
      <c r="Q109" s="1538"/>
      <c r="R109" s="1538"/>
      <c r="S109" s="1538"/>
      <c r="T109" s="1538"/>
      <c r="U109" s="1538"/>
      <c r="V109" s="1538"/>
      <c r="W109" s="1538"/>
      <c r="X109" s="412"/>
    </row>
    <row r="110" spans="1:241" ht="13.9" customHeight="1" x14ac:dyDescent="0.25">
      <c r="B110" s="21" t="s">
        <v>299</v>
      </c>
    </row>
  </sheetData>
  <sheetProtection selectLockedCells="1" selectUnlockedCells="1"/>
  <mergeCells count="29">
    <mergeCell ref="B108:L108"/>
    <mergeCell ref="B109:W109"/>
    <mergeCell ref="F7:G7"/>
    <mergeCell ref="H7:I7"/>
    <mergeCell ref="J7:K7"/>
    <mergeCell ref="L7:M7"/>
    <mergeCell ref="N7:O7"/>
    <mergeCell ref="P7:R7"/>
    <mergeCell ref="L6:O6"/>
    <mergeCell ref="P6:T6"/>
    <mergeCell ref="U6:W7"/>
    <mergeCell ref="C7:E7"/>
    <mergeCell ref="S7:T7"/>
    <mergeCell ref="A1:W1"/>
    <mergeCell ref="A2:W2"/>
    <mergeCell ref="A3:W3"/>
    <mergeCell ref="A5:A8"/>
    <mergeCell ref="C5:E5"/>
    <mergeCell ref="F5:G5"/>
    <mergeCell ref="H5:I5"/>
    <mergeCell ref="J5:K5"/>
    <mergeCell ref="L5:M5"/>
    <mergeCell ref="N5:O5"/>
    <mergeCell ref="P5:R5"/>
    <mergeCell ref="S5:T5"/>
    <mergeCell ref="U5:W5"/>
    <mergeCell ref="B6:B8"/>
    <mergeCell ref="C6:G6"/>
    <mergeCell ref="H6:K6"/>
  </mergeCells>
  <pageMargins left="0.39370078740157483" right="0.19685039370078741" top="0.19685039370078741" bottom="0.19685039370078741" header="0.51181102362204722" footer="0.51181102362204722"/>
  <pageSetup paperSize="9" scale="57" firstPageNumber="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527" t="s">
        <v>954</v>
      </c>
      <c r="B1" s="1527"/>
      <c r="C1" s="1527"/>
      <c r="D1" s="1527"/>
      <c r="E1" s="1527"/>
      <c r="F1" s="1527"/>
      <c r="G1" s="1527"/>
      <c r="H1" s="1527"/>
      <c r="I1" s="538"/>
      <c r="J1" s="538"/>
      <c r="K1" s="538"/>
      <c r="L1" s="538"/>
      <c r="M1" s="538"/>
      <c r="N1" s="538"/>
      <c r="O1" s="538"/>
      <c r="P1" s="538"/>
      <c r="Q1" s="538"/>
      <c r="R1" s="538"/>
      <c r="S1" s="538"/>
      <c r="T1" s="538"/>
      <c r="U1" s="538"/>
      <c r="V1" s="538"/>
      <c r="W1" s="538"/>
      <c r="X1" s="538"/>
      <c r="Y1" s="538"/>
      <c r="Z1" s="538"/>
      <c r="AA1" s="538"/>
      <c r="AB1" s="538"/>
      <c r="AC1" s="538"/>
      <c r="AD1" s="538"/>
      <c r="AE1" s="538"/>
      <c r="AF1" s="538"/>
      <c r="AG1" s="538"/>
      <c r="AH1" s="538"/>
      <c r="AI1" s="538"/>
    </row>
    <row r="2" spans="1:35" x14ac:dyDescent="0.2">
      <c r="C2" t="s">
        <v>349</v>
      </c>
    </row>
    <row r="3" spans="1:35" ht="14.25" x14ac:dyDescent="0.2">
      <c r="A3" s="1539" t="s">
        <v>338</v>
      </c>
      <c r="B3" s="1539"/>
      <c r="C3" s="1539"/>
      <c r="D3" s="1539"/>
      <c r="E3" s="1539"/>
      <c r="F3" s="1539"/>
      <c r="G3" s="1539"/>
      <c r="H3" s="1539"/>
    </row>
    <row r="4" spans="1:35" ht="14.25" x14ac:dyDescent="0.2">
      <c r="A4" s="1539" t="s">
        <v>339</v>
      </c>
      <c r="B4" s="1539"/>
      <c r="C4" s="1539"/>
      <c r="D4" s="1539"/>
      <c r="E4" s="1539"/>
      <c r="F4" s="1539"/>
      <c r="G4" s="1539"/>
      <c r="H4" s="1539"/>
    </row>
    <row r="5" spans="1:35" ht="14.25" x14ac:dyDescent="0.2">
      <c r="A5" s="1540" t="s">
        <v>55</v>
      </c>
      <c r="B5" s="1540"/>
      <c r="C5" s="1540"/>
      <c r="D5" s="1540"/>
      <c r="E5" s="1540"/>
      <c r="F5" s="1540"/>
      <c r="G5" s="1540"/>
      <c r="H5" s="1540"/>
    </row>
    <row r="6" spans="1:35" ht="15" x14ac:dyDescent="0.25">
      <c r="A6" s="321"/>
      <c r="B6" s="500"/>
      <c r="C6" s="500"/>
      <c r="D6" s="500"/>
      <c r="E6" s="500"/>
    </row>
    <row r="7" spans="1:35" ht="14.25" customHeight="1" x14ac:dyDescent="0.2">
      <c r="A7" s="1541"/>
      <c r="B7" s="501" t="s">
        <v>57</v>
      </c>
      <c r="C7" s="501" t="s">
        <v>58</v>
      </c>
      <c r="D7" s="501" t="s">
        <v>59</v>
      </c>
      <c r="E7" s="501" t="s">
        <v>60</v>
      </c>
      <c r="F7" s="502" t="s">
        <v>499</v>
      </c>
      <c r="G7" s="502" t="s">
        <v>500</v>
      </c>
      <c r="H7" s="502" t="s">
        <v>501</v>
      </c>
    </row>
    <row r="8" spans="1:35" ht="14.25" customHeight="1" x14ac:dyDescent="0.2">
      <c r="A8" s="1541"/>
      <c r="B8" s="1542" t="s">
        <v>822</v>
      </c>
      <c r="C8" s="1543" t="s">
        <v>341</v>
      </c>
      <c r="D8" s="1544" t="s">
        <v>342</v>
      </c>
      <c r="E8" s="1545"/>
      <c r="F8" s="1546"/>
    </row>
    <row r="9" spans="1:35" ht="15.75" x14ac:dyDescent="0.25">
      <c r="A9" s="1541"/>
      <c r="B9" s="1542"/>
      <c r="C9" s="1543"/>
      <c r="D9" s="1544"/>
      <c r="E9" s="324">
        <v>2015</v>
      </c>
      <c r="F9" s="503">
        <v>2017</v>
      </c>
      <c r="G9" s="525">
        <v>2017</v>
      </c>
      <c r="H9" s="525">
        <v>2018</v>
      </c>
    </row>
    <row r="10" spans="1:35" ht="15" x14ac:dyDescent="0.25">
      <c r="A10" s="504"/>
      <c r="B10" s="505" t="s">
        <v>348</v>
      </c>
      <c r="C10" s="506"/>
      <c r="D10" s="526"/>
      <c r="E10" s="506"/>
    </row>
    <row r="11" spans="1:35" ht="15" x14ac:dyDescent="0.25">
      <c r="A11" s="507">
        <v>1</v>
      </c>
      <c r="B11" s="508" t="s">
        <v>823</v>
      </c>
      <c r="C11" s="509" t="s">
        <v>824</v>
      </c>
      <c r="D11" s="527" t="s">
        <v>354</v>
      </c>
      <c r="E11" s="510">
        <v>41</v>
      </c>
      <c r="F11" s="510">
        <v>50</v>
      </c>
      <c r="G11" s="510">
        <v>50</v>
      </c>
      <c r="H11" s="510">
        <v>50</v>
      </c>
    </row>
    <row r="12" spans="1:35" ht="15" x14ac:dyDescent="0.25">
      <c r="A12" s="507">
        <v>2</v>
      </c>
      <c r="B12" s="508" t="s">
        <v>825</v>
      </c>
      <c r="C12" s="509" t="s">
        <v>826</v>
      </c>
      <c r="D12" s="527" t="s">
        <v>354</v>
      </c>
      <c r="E12" s="510">
        <v>125</v>
      </c>
      <c r="F12" s="510">
        <v>147</v>
      </c>
      <c r="G12" s="510">
        <v>147</v>
      </c>
      <c r="H12" s="510">
        <v>147</v>
      </c>
    </row>
    <row r="13" spans="1:35" ht="25.5" customHeight="1" x14ac:dyDescent="0.25">
      <c r="A13" s="507">
        <v>3</v>
      </c>
      <c r="B13" s="511" t="s">
        <v>827</v>
      </c>
      <c r="C13" s="512" t="s">
        <v>770</v>
      </c>
      <c r="D13" s="528" t="s">
        <v>354</v>
      </c>
      <c r="E13" s="513"/>
      <c r="F13" s="513">
        <v>240</v>
      </c>
      <c r="G13" s="513">
        <v>240</v>
      </c>
      <c r="H13" s="513">
        <v>240</v>
      </c>
    </row>
    <row r="14" spans="1:35" ht="15" x14ac:dyDescent="0.25">
      <c r="A14" s="507">
        <v>4</v>
      </c>
      <c r="B14" s="508" t="s">
        <v>397</v>
      </c>
      <c r="C14" s="509" t="s">
        <v>828</v>
      </c>
      <c r="D14" s="527" t="s">
        <v>354</v>
      </c>
      <c r="E14" s="510">
        <v>330</v>
      </c>
      <c r="F14" s="510">
        <v>335</v>
      </c>
      <c r="G14" s="510">
        <v>335</v>
      </c>
      <c r="H14" s="510">
        <v>335</v>
      </c>
    </row>
    <row r="15" spans="1:35" ht="15" x14ac:dyDescent="0.25">
      <c r="A15" s="507">
        <v>5</v>
      </c>
      <c r="B15" s="508" t="s">
        <v>399</v>
      </c>
      <c r="C15" s="509" t="s">
        <v>829</v>
      </c>
      <c r="D15" s="527" t="s">
        <v>354</v>
      </c>
      <c r="E15" s="510">
        <v>930</v>
      </c>
      <c r="F15" s="510">
        <v>960</v>
      </c>
      <c r="G15" s="510">
        <v>960</v>
      </c>
      <c r="H15" s="510">
        <v>960</v>
      </c>
    </row>
    <row r="16" spans="1:35" ht="15" x14ac:dyDescent="0.25">
      <c r="A16" s="507">
        <v>6</v>
      </c>
      <c r="B16" s="508" t="s">
        <v>830</v>
      </c>
      <c r="C16" s="509" t="s">
        <v>831</v>
      </c>
      <c r="D16" s="527" t="s">
        <v>354</v>
      </c>
      <c r="E16" s="510"/>
      <c r="F16" s="510">
        <v>700</v>
      </c>
      <c r="G16" s="510">
        <v>700</v>
      </c>
      <c r="H16" s="510">
        <v>700</v>
      </c>
    </row>
    <row r="17" spans="1:8" ht="15" x14ac:dyDescent="0.25">
      <c r="A17" s="507">
        <v>7</v>
      </c>
      <c r="B17" s="509" t="s">
        <v>417</v>
      </c>
      <c r="C17" s="509" t="s">
        <v>832</v>
      </c>
      <c r="D17" s="529" t="s">
        <v>354</v>
      </c>
      <c r="E17" s="510">
        <v>225</v>
      </c>
      <c r="F17" s="510">
        <v>271</v>
      </c>
      <c r="G17" s="510">
        <v>271</v>
      </c>
      <c r="H17" s="510">
        <v>271</v>
      </c>
    </row>
    <row r="18" spans="1:8" ht="24.75" customHeight="1" x14ac:dyDescent="0.25">
      <c r="A18" s="507">
        <v>8</v>
      </c>
      <c r="B18" s="514" t="s">
        <v>833</v>
      </c>
      <c r="C18" s="515" t="s">
        <v>834</v>
      </c>
      <c r="D18" s="530" t="s">
        <v>354</v>
      </c>
      <c r="E18" s="516">
        <v>233</v>
      </c>
      <c r="F18" s="516">
        <v>236</v>
      </c>
      <c r="G18" s="516">
        <v>236</v>
      </c>
      <c r="H18" s="516">
        <v>236</v>
      </c>
    </row>
    <row r="19" spans="1:8" ht="20.25" customHeight="1" x14ac:dyDescent="0.25">
      <c r="A19" s="507">
        <v>9</v>
      </c>
      <c r="B19" s="514" t="s">
        <v>423</v>
      </c>
      <c r="C19" s="515" t="s">
        <v>835</v>
      </c>
      <c r="D19" s="530" t="s">
        <v>354</v>
      </c>
      <c r="E19" s="516">
        <v>250</v>
      </c>
      <c r="F19" s="516">
        <v>200</v>
      </c>
      <c r="G19" s="516">
        <v>200</v>
      </c>
      <c r="H19" s="516">
        <v>200</v>
      </c>
    </row>
    <row r="20" spans="1:8" ht="27.75" customHeight="1" x14ac:dyDescent="0.25">
      <c r="A20" s="507">
        <v>10</v>
      </c>
      <c r="B20" s="514" t="s">
        <v>434</v>
      </c>
      <c r="C20" s="515" t="s">
        <v>836</v>
      </c>
      <c r="D20" s="530" t="s">
        <v>354</v>
      </c>
      <c r="E20" s="516">
        <v>1800</v>
      </c>
      <c r="F20" s="516">
        <v>1800</v>
      </c>
      <c r="G20" s="516">
        <v>1800</v>
      </c>
      <c r="H20" s="516">
        <v>1800</v>
      </c>
    </row>
    <row r="21" spans="1:8" ht="28.5" customHeight="1" x14ac:dyDescent="0.25">
      <c r="A21" s="507">
        <v>11</v>
      </c>
      <c r="B21" s="514" t="s">
        <v>436</v>
      </c>
      <c r="C21" s="515" t="s">
        <v>837</v>
      </c>
      <c r="D21" s="530" t="s">
        <v>354</v>
      </c>
      <c r="E21" s="516">
        <v>2000</v>
      </c>
      <c r="F21" s="516">
        <v>2000</v>
      </c>
      <c r="G21" s="516">
        <v>2000</v>
      </c>
      <c r="H21" s="516">
        <v>2000</v>
      </c>
    </row>
    <row r="22" spans="1:8" ht="48" customHeight="1" x14ac:dyDescent="0.2">
      <c r="A22" s="531">
        <v>12</v>
      </c>
      <c r="B22" s="517" t="s">
        <v>838</v>
      </c>
      <c r="C22" s="532" t="s">
        <v>839</v>
      </c>
      <c r="D22" s="533" t="s">
        <v>354</v>
      </c>
      <c r="E22" s="534"/>
      <c r="F22" s="534">
        <v>97</v>
      </c>
      <c r="G22" s="534">
        <v>97</v>
      </c>
      <c r="H22" s="534">
        <v>97</v>
      </c>
    </row>
    <row r="23" spans="1:8" ht="30" customHeight="1" x14ac:dyDescent="0.25">
      <c r="A23" s="507">
        <v>13</v>
      </c>
      <c r="B23" s="514" t="s">
        <v>840</v>
      </c>
      <c r="C23" s="515" t="s">
        <v>841</v>
      </c>
      <c r="D23" s="530">
        <v>43465</v>
      </c>
      <c r="E23" s="516"/>
      <c r="F23" s="516">
        <v>991</v>
      </c>
      <c r="G23" s="516">
        <v>991</v>
      </c>
      <c r="H23" s="516">
        <v>991</v>
      </c>
    </row>
    <row r="24" spans="1:8" ht="33" customHeight="1" x14ac:dyDescent="0.25">
      <c r="A24" s="507">
        <v>14</v>
      </c>
      <c r="B24" s="514" t="s">
        <v>842</v>
      </c>
      <c r="C24" s="515" t="s">
        <v>843</v>
      </c>
      <c r="D24" s="530" t="s">
        <v>354</v>
      </c>
      <c r="E24" s="516"/>
      <c r="F24" s="516">
        <v>515</v>
      </c>
      <c r="G24" s="516">
        <v>515</v>
      </c>
      <c r="H24" s="516">
        <v>515</v>
      </c>
    </row>
    <row r="25" spans="1:8" ht="15" x14ac:dyDescent="0.25">
      <c r="A25" s="507">
        <v>17</v>
      </c>
      <c r="B25" s="519" t="s">
        <v>844</v>
      </c>
      <c r="C25" s="519" t="s">
        <v>845</v>
      </c>
      <c r="D25" s="535">
        <v>43009</v>
      </c>
      <c r="E25" s="520"/>
      <c r="F25" s="521">
        <v>3500</v>
      </c>
      <c r="G25" s="521">
        <v>3500</v>
      </c>
      <c r="H25" s="521">
        <v>3500</v>
      </c>
    </row>
    <row r="26" spans="1:8" ht="15" x14ac:dyDescent="0.25">
      <c r="A26" s="507">
        <v>22</v>
      </c>
      <c r="B26" s="519" t="s">
        <v>846</v>
      </c>
      <c r="C26" s="519" t="s">
        <v>847</v>
      </c>
      <c r="D26" s="535" t="s">
        <v>354</v>
      </c>
      <c r="E26" s="522"/>
      <c r="F26" s="521">
        <v>248</v>
      </c>
      <c r="G26" s="521">
        <v>248</v>
      </c>
      <c r="H26" s="521">
        <v>248</v>
      </c>
    </row>
    <row r="27" spans="1:8" ht="15.75" x14ac:dyDescent="0.25">
      <c r="A27" s="507">
        <v>23</v>
      </c>
      <c r="B27" s="519" t="s">
        <v>848</v>
      </c>
      <c r="C27" s="519" t="s">
        <v>849</v>
      </c>
      <c r="D27" s="524" t="s">
        <v>354</v>
      </c>
      <c r="E27" s="523"/>
      <c r="F27" s="521">
        <v>168</v>
      </c>
      <c r="G27" s="521">
        <v>168</v>
      </c>
      <c r="H27" s="521">
        <v>168</v>
      </c>
    </row>
    <row r="28" spans="1:8" ht="15.75" x14ac:dyDescent="0.25">
      <c r="A28" s="536">
        <v>24</v>
      </c>
      <c r="B28" s="519" t="s">
        <v>850</v>
      </c>
      <c r="C28" s="519" t="s">
        <v>851</v>
      </c>
      <c r="D28" s="524" t="s">
        <v>354</v>
      </c>
      <c r="E28" s="523"/>
      <c r="F28" s="521">
        <v>76</v>
      </c>
      <c r="G28" s="521">
        <v>76</v>
      </c>
      <c r="H28" s="521">
        <v>76</v>
      </c>
    </row>
    <row r="29" spans="1:8" ht="15.75" x14ac:dyDescent="0.25">
      <c r="A29" s="507">
        <v>25</v>
      </c>
      <c r="B29" s="523"/>
      <c r="C29" s="519" t="s">
        <v>852</v>
      </c>
      <c r="D29" s="524" t="s">
        <v>354</v>
      </c>
      <c r="E29" s="523"/>
      <c r="F29" s="518">
        <v>127</v>
      </c>
      <c r="G29" s="518">
        <v>127</v>
      </c>
      <c r="H29" s="518">
        <v>127</v>
      </c>
    </row>
    <row r="30" spans="1:8" ht="15" x14ac:dyDescent="0.25">
      <c r="A30" s="507">
        <v>26</v>
      </c>
      <c r="B30" s="519" t="s">
        <v>853</v>
      </c>
      <c r="C30" s="519" t="s">
        <v>854</v>
      </c>
      <c r="D30" s="535">
        <v>42855</v>
      </c>
      <c r="E30" s="522"/>
      <c r="F30" s="521">
        <v>1531</v>
      </c>
      <c r="G30" s="521">
        <v>1531</v>
      </c>
      <c r="H30" s="521">
        <v>1531</v>
      </c>
    </row>
    <row r="31" spans="1:8" ht="15" x14ac:dyDescent="0.25">
      <c r="A31" s="507">
        <v>27</v>
      </c>
      <c r="B31" s="519" t="s">
        <v>810</v>
      </c>
      <c r="C31" s="519" t="s">
        <v>855</v>
      </c>
      <c r="D31" s="535">
        <v>42855</v>
      </c>
      <c r="E31" s="522"/>
      <c r="F31" s="521">
        <v>3446</v>
      </c>
      <c r="G31" s="521">
        <v>3446</v>
      </c>
      <c r="H31" s="521">
        <v>3446</v>
      </c>
    </row>
    <row r="32" spans="1:8" ht="15" x14ac:dyDescent="0.25">
      <c r="A32" s="507">
        <v>28</v>
      </c>
      <c r="B32" s="519" t="s">
        <v>808</v>
      </c>
      <c r="C32" s="519" t="s">
        <v>856</v>
      </c>
      <c r="D32" s="535">
        <v>42825</v>
      </c>
      <c r="E32" s="522"/>
      <c r="F32" s="521">
        <v>1727</v>
      </c>
      <c r="G32" s="521">
        <v>1727</v>
      </c>
      <c r="H32" s="521">
        <v>1727</v>
      </c>
    </row>
    <row r="33" spans="1:8" ht="15" x14ac:dyDescent="0.25">
      <c r="A33" s="507">
        <v>29</v>
      </c>
      <c r="B33" s="519" t="s">
        <v>857</v>
      </c>
      <c r="C33" s="519" t="s">
        <v>858</v>
      </c>
      <c r="D33" s="535">
        <v>42916</v>
      </c>
      <c r="E33" s="520"/>
      <c r="F33" s="521">
        <v>1270</v>
      </c>
      <c r="G33" s="521">
        <v>1270</v>
      </c>
      <c r="H33" s="521">
        <v>1270</v>
      </c>
    </row>
    <row r="34" spans="1:8" ht="15" x14ac:dyDescent="0.25">
      <c r="A34" s="507">
        <v>30</v>
      </c>
      <c r="B34" s="519"/>
      <c r="C34" s="519" t="s">
        <v>859</v>
      </c>
      <c r="D34" s="535" t="s">
        <v>354</v>
      </c>
      <c r="E34" s="520"/>
      <c r="F34" s="521">
        <v>355</v>
      </c>
      <c r="G34" s="521">
        <v>355</v>
      </c>
      <c r="H34" s="521">
        <v>355</v>
      </c>
    </row>
    <row r="35" spans="1:8" ht="15" x14ac:dyDescent="0.25">
      <c r="A35" s="507">
        <v>31</v>
      </c>
      <c r="B35" s="519"/>
      <c r="C35" s="519" t="s">
        <v>860</v>
      </c>
      <c r="D35" s="535" t="s">
        <v>354</v>
      </c>
      <c r="E35" s="520"/>
      <c r="F35" s="521">
        <v>321</v>
      </c>
      <c r="G35" s="521">
        <v>321</v>
      </c>
      <c r="H35" s="521">
        <v>321</v>
      </c>
    </row>
    <row r="36" spans="1:8" ht="15" x14ac:dyDescent="0.25">
      <c r="A36" s="507">
        <v>32</v>
      </c>
      <c r="B36" s="519"/>
      <c r="C36" s="519" t="s">
        <v>861</v>
      </c>
      <c r="D36" s="535" t="s">
        <v>354</v>
      </c>
      <c r="E36" s="520"/>
      <c r="F36" s="521">
        <v>458</v>
      </c>
      <c r="G36" s="521">
        <v>458</v>
      </c>
      <c r="H36" s="521">
        <v>458</v>
      </c>
    </row>
    <row r="37" spans="1:8" ht="15" x14ac:dyDescent="0.25">
      <c r="A37" s="507">
        <v>33</v>
      </c>
      <c r="B37" s="519" t="s">
        <v>936</v>
      </c>
      <c r="C37" s="519" t="s">
        <v>937</v>
      </c>
      <c r="D37" s="535" t="s">
        <v>354</v>
      </c>
      <c r="E37" s="520"/>
      <c r="F37" s="521">
        <v>131</v>
      </c>
      <c r="G37" s="521">
        <v>131</v>
      </c>
      <c r="H37" s="521">
        <v>131</v>
      </c>
    </row>
    <row r="38" spans="1:8" ht="30" x14ac:dyDescent="0.25">
      <c r="A38" s="507">
        <v>34</v>
      </c>
      <c r="B38" s="519" t="s">
        <v>938</v>
      </c>
      <c r="C38" s="587" t="s">
        <v>939</v>
      </c>
      <c r="D38" s="535" t="s">
        <v>354</v>
      </c>
      <c r="E38" s="520"/>
      <c r="F38" s="521">
        <v>686</v>
      </c>
      <c r="G38" s="521">
        <v>686</v>
      </c>
      <c r="H38" s="521">
        <v>686</v>
      </c>
    </row>
    <row r="39" spans="1:8" ht="15" x14ac:dyDescent="0.25">
      <c r="A39" s="507"/>
      <c r="B39" s="519"/>
      <c r="C39" s="587" t="s">
        <v>940</v>
      </c>
      <c r="D39" s="535" t="s">
        <v>354</v>
      </c>
      <c r="E39" s="520"/>
      <c r="F39" s="521">
        <v>550</v>
      </c>
      <c r="G39" s="521">
        <v>550</v>
      </c>
      <c r="H39" s="521">
        <v>550</v>
      </c>
    </row>
    <row r="40" spans="1:8" ht="15" x14ac:dyDescent="0.25">
      <c r="A40" s="507"/>
      <c r="B40" s="519"/>
      <c r="C40" s="587" t="s">
        <v>935</v>
      </c>
      <c r="D40" s="535" t="s">
        <v>354</v>
      </c>
      <c r="E40" s="520"/>
      <c r="F40" s="521">
        <v>4000</v>
      </c>
      <c r="G40" s="521">
        <v>4000</v>
      </c>
      <c r="H40" s="521">
        <v>4000</v>
      </c>
    </row>
    <row r="41" spans="1:8" ht="15.75" x14ac:dyDescent="0.25">
      <c r="E41" s="537">
        <v>5934</v>
      </c>
      <c r="F41" s="537">
        <f>SUM(F11:F40)</f>
        <v>27136</v>
      </c>
      <c r="G41" s="537">
        <f>SUM(G11:G40)</f>
        <v>27136</v>
      </c>
      <c r="H41" s="537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75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547" t="s">
        <v>1243</v>
      </c>
      <c r="B1" s="1547"/>
      <c r="C1" s="1547"/>
      <c r="D1" s="1547"/>
      <c r="E1" s="1547"/>
      <c r="F1" s="1547"/>
      <c r="G1" s="1547"/>
      <c r="H1" s="1547"/>
    </row>
    <row r="2" spans="1:8" x14ac:dyDescent="0.2">
      <c r="A2" s="638"/>
      <c r="B2" s="638"/>
      <c r="C2" s="638"/>
      <c r="D2" s="639"/>
      <c r="E2" s="638"/>
      <c r="F2" s="638"/>
      <c r="G2" s="638"/>
      <c r="H2" s="638"/>
    </row>
    <row r="3" spans="1:8" x14ac:dyDescent="0.2">
      <c r="A3" s="1551" t="s">
        <v>78</v>
      </c>
      <c r="B3" s="1551"/>
      <c r="C3" s="1551"/>
      <c r="D3" s="1551"/>
      <c r="E3" s="1551"/>
      <c r="F3" s="1551"/>
      <c r="G3" s="1551"/>
      <c r="H3" s="1551"/>
    </row>
    <row r="4" spans="1:8" ht="14.25" x14ac:dyDescent="0.2">
      <c r="A4" s="1539" t="s">
        <v>338</v>
      </c>
      <c r="B4" s="1539"/>
      <c r="C4" s="1539"/>
      <c r="D4" s="1539"/>
      <c r="E4" s="1539"/>
      <c r="F4" s="1539"/>
      <c r="G4" s="1539"/>
      <c r="H4" s="1539"/>
    </row>
    <row r="5" spans="1:8" ht="14.25" x14ac:dyDescent="0.2">
      <c r="A5" s="1539" t="s">
        <v>1205</v>
      </c>
      <c r="B5" s="1539"/>
      <c r="C5" s="1539"/>
      <c r="D5" s="1539"/>
      <c r="E5" s="1539"/>
      <c r="F5" s="1539"/>
      <c r="G5" s="1539"/>
      <c r="H5" s="1539"/>
    </row>
    <row r="6" spans="1:8" ht="14.25" x14ac:dyDescent="0.2">
      <c r="A6" s="1540" t="s">
        <v>55</v>
      </c>
      <c r="B6" s="1540"/>
      <c r="C6" s="1540"/>
      <c r="D6" s="1540"/>
      <c r="E6" s="1540"/>
      <c r="F6" s="1540"/>
      <c r="G6" s="1540"/>
      <c r="H6" s="1540"/>
    </row>
    <row r="7" spans="1:8" ht="15" x14ac:dyDescent="0.25">
      <c r="A7" s="699"/>
      <c r="B7" s="700"/>
      <c r="C7" s="700"/>
      <c r="D7" s="700"/>
      <c r="E7" s="700"/>
      <c r="F7" s="638"/>
      <c r="G7" s="638"/>
      <c r="H7" s="638"/>
    </row>
    <row r="8" spans="1:8" ht="14.25" customHeight="1" x14ac:dyDescent="0.2">
      <c r="A8" s="1548"/>
      <c r="B8" s="701" t="s">
        <v>57</v>
      </c>
      <c r="C8" s="701" t="s">
        <v>58</v>
      </c>
      <c r="D8" s="701" t="s">
        <v>59</v>
      </c>
      <c r="E8" s="701" t="s">
        <v>60</v>
      </c>
      <c r="F8" s="702" t="s">
        <v>499</v>
      </c>
      <c r="G8" s="702" t="s">
        <v>500</v>
      </c>
      <c r="H8" s="702" t="s">
        <v>501</v>
      </c>
    </row>
    <row r="9" spans="1:8" ht="14.25" customHeight="1" x14ac:dyDescent="0.2">
      <c r="A9" s="1548"/>
      <c r="B9" s="1549" t="s">
        <v>340</v>
      </c>
      <c r="C9" s="1550" t="s">
        <v>341</v>
      </c>
      <c r="D9" s="1550" t="s">
        <v>342</v>
      </c>
      <c r="E9" s="703"/>
      <c r="F9" s="704"/>
      <c r="G9" s="705"/>
      <c r="H9" s="705"/>
    </row>
    <row r="10" spans="1:8" ht="14.25" customHeight="1" x14ac:dyDescent="0.2">
      <c r="A10" s="1548"/>
      <c r="B10" s="1549"/>
      <c r="C10" s="1550"/>
      <c r="D10" s="1550"/>
      <c r="E10" s="706" t="s">
        <v>759</v>
      </c>
      <c r="F10" s="707" t="s">
        <v>987</v>
      </c>
      <c r="G10" s="708" t="s">
        <v>1206</v>
      </c>
      <c r="H10" s="708" t="s">
        <v>1207</v>
      </c>
    </row>
    <row r="11" spans="1:8" ht="15" x14ac:dyDescent="0.25">
      <c r="A11" s="332"/>
      <c r="B11" s="368" t="s">
        <v>348</v>
      </c>
      <c r="C11" s="369"/>
      <c r="D11" s="369"/>
      <c r="E11" s="638"/>
      <c r="F11" s="638"/>
      <c r="G11" s="638"/>
      <c r="H11" s="638"/>
    </row>
    <row r="12" spans="1:8" ht="15" x14ac:dyDescent="0.25">
      <c r="A12" s="709">
        <v>1</v>
      </c>
      <c r="B12" s="710" t="s">
        <v>352</v>
      </c>
      <c r="C12" s="711" t="s">
        <v>351</v>
      </c>
      <c r="D12" s="712" t="s">
        <v>354</v>
      </c>
      <c r="E12" s="713">
        <v>300</v>
      </c>
      <c r="F12" s="713">
        <v>300</v>
      </c>
      <c r="G12" s="713">
        <v>300</v>
      </c>
      <c r="H12" s="713">
        <v>300</v>
      </c>
    </row>
    <row r="13" spans="1:8" ht="15" x14ac:dyDescent="0.25">
      <c r="A13" s="709">
        <v>2</v>
      </c>
      <c r="B13" s="714" t="s">
        <v>355</v>
      </c>
      <c r="C13" s="715" t="s">
        <v>356</v>
      </c>
      <c r="D13" s="712" t="s">
        <v>354</v>
      </c>
      <c r="E13" s="716">
        <v>100</v>
      </c>
      <c r="F13" s="716">
        <v>100</v>
      </c>
      <c r="G13" s="716">
        <v>100</v>
      </c>
      <c r="H13" s="716">
        <v>100</v>
      </c>
    </row>
    <row r="14" spans="1:8" ht="15" x14ac:dyDescent="0.25">
      <c r="A14" s="709">
        <v>3</v>
      </c>
      <c r="B14" s="714" t="s">
        <v>359</v>
      </c>
      <c r="C14" s="715" t="s">
        <v>760</v>
      </c>
      <c r="D14" s="712" t="s">
        <v>354</v>
      </c>
      <c r="E14" s="716">
        <v>24241</v>
      </c>
      <c r="F14" s="716">
        <v>24241</v>
      </c>
      <c r="G14" s="716">
        <v>24241</v>
      </c>
      <c r="H14" s="716">
        <v>24241</v>
      </c>
    </row>
    <row r="15" spans="1:8" ht="15" x14ac:dyDescent="0.25">
      <c r="A15" s="709">
        <v>4</v>
      </c>
      <c r="B15" s="714" t="s">
        <v>359</v>
      </c>
      <c r="C15" s="715" t="s">
        <v>761</v>
      </c>
      <c r="D15" s="712" t="s">
        <v>354</v>
      </c>
      <c r="E15" s="716">
        <v>27321</v>
      </c>
      <c r="F15" s="716">
        <v>27321</v>
      </c>
      <c r="G15" s="716">
        <v>27321</v>
      </c>
      <c r="H15" s="716">
        <v>27321</v>
      </c>
    </row>
    <row r="16" spans="1:8" ht="15" x14ac:dyDescent="0.25">
      <c r="A16" s="709">
        <v>5</v>
      </c>
      <c r="B16" s="714" t="s">
        <v>367</v>
      </c>
      <c r="C16" s="715" t="s">
        <v>368</v>
      </c>
      <c r="D16" s="712" t="s">
        <v>354</v>
      </c>
      <c r="E16" s="716">
        <v>10</v>
      </c>
      <c r="F16" s="716">
        <v>10</v>
      </c>
      <c r="G16" s="716">
        <v>10</v>
      </c>
      <c r="H16" s="716">
        <v>10</v>
      </c>
    </row>
    <row r="17" spans="1:19" ht="15" x14ac:dyDescent="0.25">
      <c r="A17" s="709">
        <v>6</v>
      </c>
      <c r="B17" s="714" t="s">
        <v>762</v>
      </c>
      <c r="C17" s="715" t="s">
        <v>763</v>
      </c>
      <c r="D17" s="717" t="s">
        <v>354</v>
      </c>
      <c r="E17" s="716">
        <v>62</v>
      </c>
      <c r="F17" s="716">
        <v>62</v>
      </c>
      <c r="G17" s="716">
        <v>62</v>
      </c>
      <c r="H17" s="716">
        <v>62</v>
      </c>
    </row>
    <row r="18" spans="1:19" ht="15" x14ac:dyDescent="0.25">
      <c r="A18" s="709">
        <v>7</v>
      </c>
      <c r="B18" s="714" t="s">
        <v>764</v>
      </c>
      <c r="C18" s="715" t="s">
        <v>765</v>
      </c>
      <c r="D18" s="717" t="s">
        <v>354</v>
      </c>
      <c r="E18" s="716">
        <v>900</v>
      </c>
      <c r="F18" s="716">
        <v>900</v>
      </c>
      <c r="G18" s="716">
        <v>900</v>
      </c>
      <c r="H18" s="716">
        <v>900</v>
      </c>
    </row>
    <row r="19" spans="1:19" ht="15" x14ac:dyDescent="0.25">
      <c r="A19" s="709">
        <v>8</v>
      </c>
      <c r="B19" s="714" t="s">
        <v>766</v>
      </c>
      <c r="C19" s="715" t="s">
        <v>767</v>
      </c>
      <c r="D19" s="717" t="s">
        <v>354</v>
      </c>
      <c r="E19" s="716">
        <v>1190</v>
      </c>
      <c r="F19" s="716">
        <v>1190</v>
      </c>
      <c r="G19" s="716">
        <v>1190</v>
      </c>
      <c r="H19" s="716">
        <v>1190</v>
      </c>
    </row>
    <row r="20" spans="1:19" ht="15" x14ac:dyDescent="0.25">
      <c r="A20" s="709">
        <v>9</v>
      </c>
      <c r="B20" s="714" t="s">
        <v>379</v>
      </c>
      <c r="C20" s="715" t="s">
        <v>768</v>
      </c>
      <c r="D20" s="717" t="s">
        <v>354</v>
      </c>
      <c r="E20" s="716">
        <v>1600</v>
      </c>
      <c r="F20" s="716">
        <v>1600</v>
      </c>
      <c r="G20" s="716">
        <v>1600</v>
      </c>
      <c r="H20" s="716">
        <v>1600</v>
      </c>
    </row>
    <row r="21" spans="1:19" ht="31.5" customHeight="1" x14ac:dyDescent="0.25">
      <c r="A21" s="709">
        <v>10</v>
      </c>
      <c r="B21" s="718" t="s">
        <v>769</v>
      </c>
      <c r="C21" s="719" t="s">
        <v>770</v>
      </c>
      <c r="D21" s="720" t="s">
        <v>354</v>
      </c>
      <c r="E21" s="721">
        <v>35</v>
      </c>
      <c r="F21" s="721">
        <v>35</v>
      </c>
      <c r="G21" s="721">
        <v>35</v>
      </c>
      <c r="H21" s="721">
        <v>35</v>
      </c>
    </row>
    <row r="22" spans="1:19" ht="15" x14ac:dyDescent="0.25">
      <c r="A22" s="709">
        <f>A21+1</f>
        <v>11</v>
      </c>
      <c r="B22" s="715"/>
      <c r="C22" s="715" t="s">
        <v>771</v>
      </c>
      <c r="D22" s="712"/>
      <c r="E22" s="716">
        <v>1844</v>
      </c>
      <c r="F22" s="716">
        <v>1844</v>
      </c>
      <c r="G22" s="716">
        <v>1844</v>
      </c>
      <c r="H22" s="716">
        <v>1844</v>
      </c>
    </row>
    <row r="23" spans="1:19" ht="15" x14ac:dyDescent="0.25">
      <c r="A23" s="709">
        <v>12</v>
      </c>
      <c r="B23" s="714" t="s">
        <v>1011</v>
      </c>
      <c r="C23" s="715" t="s">
        <v>1008</v>
      </c>
      <c r="D23" s="712" t="s">
        <v>354</v>
      </c>
      <c r="E23" s="716">
        <v>900</v>
      </c>
      <c r="F23" s="716">
        <v>900</v>
      </c>
      <c r="G23" s="716">
        <v>900</v>
      </c>
      <c r="H23" s="716">
        <v>900</v>
      </c>
    </row>
    <row r="24" spans="1:19" ht="31.5" customHeight="1" x14ac:dyDescent="0.25">
      <c r="A24" s="709">
        <f t="shared" ref="A24:A68" si="0">A23+1</f>
        <v>13</v>
      </c>
      <c r="B24" s="519" t="s">
        <v>403</v>
      </c>
      <c r="C24" s="722" t="s">
        <v>404</v>
      </c>
      <c r="D24" s="723" t="s">
        <v>354</v>
      </c>
      <c r="E24" s="724">
        <v>40</v>
      </c>
      <c r="F24" s="724">
        <v>40</v>
      </c>
      <c r="G24" s="724">
        <v>40</v>
      </c>
      <c r="H24" s="724">
        <v>40</v>
      </c>
    </row>
    <row r="25" spans="1:19" ht="30" customHeight="1" x14ac:dyDescent="0.25">
      <c r="A25" s="709">
        <f t="shared" si="0"/>
        <v>14</v>
      </c>
      <c r="B25" s="519" t="s">
        <v>407</v>
      </c>
      <c r="C25" s="722" t="s">
        <v>772</v>
      </c>
      <c r="D25" s="723" t="s">
        <v>354</v>
      </c>
      <c r="E25" s="725">
        <v>210</v>
      </c>
      <c r="F25" s="725">
        <v>210</v>
      </c>
      <c r="G25" s="725">
        <v>210</v>
      </c>
      <c r="H25" s="725">
        <v>210</v>
      </c>
    </row>
    <row r="26" spans="1:19" ht="27" customHeight="1" x14ac:dyDescent="0.25">
      <c r="A26" s="709">
        <f t="shared" si="0"/>
        <v>15</v>
      </c>
      <c r="B26" s="718" t="s">
        <v>409</v>
      </c>
      <c r="C26" s="719" t="s">
        <v>773</v>
      </c>
      <c r="D26" s="720" t="s">
        <v>354</v>
      </c>
      <c r="E26" s="721">
        <v>199</v>
      </c>
      <c r="F26" s="721">
        <v>199</v>
      </c>
      <c r="G26" s="721">
        <v>199</v>
      </c>
      <c r="H26" s="721">
        <v>199</v>
      </c>
    </row>
    <row r="27" spans="1:19" ht="26.25" customHeight="1" x14ac:dyDescent="0.25">
      <c r="A27" s="709">
        <f t="shared" si="0"/>
        <v>16</v>
      </c>
      <c r="B27" s="718" t="s">
        <v>411</v>
      </c>
      <c r="C27" s="719" t="s">
        <v>412</v>
      </c>
      <c r="D27" s="720" t="s">
        <v>354</v>
      </c>
      <c r="E27" s="721">
        <v>1863</v>
      </c>
      <c r="F27" s="721">
        <v>1863</v>
      </c>
      <c r="G27" s="721">
        <v>1863</v>
      </c>
      <c r="H27" s="721">
        <v>1863</v>
      </c>
    </row>
    <row r="28" spans="1:19" s="727" customFormat="1" ht="30" customHeight="1" x14ac:dyDescent="0.25">
      <c r="A28" s="709">
        <f t="shared" si="0"/>
        <v>17</v>
      </c>
      <c r="B28" s="519" t="s">
        <v>1208</v>
      </c>
      <c r="C28" s="726" t="s">
        <v>1209</v>
      </c>
      <c r="D28" s="723" t="s">
        <v>354</v>
      </c>
      <c r="E28" s="522">
        <v>5985</v>
      </c>
      <c r="F28" s="522">
        <v>5985</v>
      </c>
      <c r="G28" s="522">
        <v>5985</v>
      </c>
      <c r="H28" s="522">
        <v>5985</v>
      </c>
      <c r="I28" s="523"/>
      <c r="J28" s="523"/>
      <c r="K28" s="523"/>
      <c r="L28" s="523"/>
      <c r="M28" s="523"/>
      <c r="N28" s="523"/>
      <c r="O28" s="523"/>
      <c r="P28" s="523"/>
      <c r="Q28" s="523"/>
      <c r="R28" s="523"/>
      <c r="S28" s="523"/>
    </row>
    <row r="29" spans="1:19" ht="15" x14ac:dyDescent="0.25">
      <c r="A29" s="709">
        <f t="shared" si="0"/>
        <v>18</v>
      </c>
      <c r="B29" s="715" t="s">
        <v>419</v>
      </c>
      <c r="C29" s="715" t="s">
        <v>774</v>
      </c>
      <c r="D29" s="712" t="s">
        <v>354</v>
      </c>
      <c r="E29" s="716">
        <v>36</v>
      </c>
      <c r="F29" s="716">
        <v>36</v>
      </c>
      <c r="G29" s="716">
        <v>36</v>
      </c>
      <c r="H29" s="716">
        <v>36</v>
      </c>
    </row>
    <row r="30" spans="1:19" ht="27" customHeight="1" x14ac:dyDescent="0.25">
      <c r="A30" s="709">
        <f t="shared" si="0"/>
        <v>19</v>
      </c>
      <c r="B30" s="519"/>
      <c r="C30" s="726" t="s">
        <v>775</v>
      </c>
      <c r="D30" s="723" t="s">
        <v>354</v>
      </c>
      <c r="E30" s="725">
        <v>15</v>
      </c>
      <c r="F30" s="725">
        <v>15</v>
      </c>
      <c r="G30" s="725">
        <v>15</v>
      </c>
      <c r="H30" s="725">
        <v>15</v>
      </c>
    </row>
    <row r="31" spans="1:19" ht="35.25" customHeight="1" x14ac:dyDescent="0.25">
      <c r="A31" s="709">
        <f t="shared" si="0"/>
        <v>20</v>
      </c>
      <c r="B31" s="519" t="s">
        <v>425</v>
      </c>
      <c r="C31" s="726" t="s">
        <v>426</v>
      </c>
      <c r="D31" s="723">
        <v>43497</v>
      </c>
      <c r="E31" s="522">
        <v>3553</v>
      </c>
      <c r="F31" s="522">
        <v>3553</v>
      </c>
      <c r="G31" s="522">
        <v>3553</v>
      </c>
      <c r="H31" s="522">
        <v>3553</v>
      </c>
    </row>
    <row r="32" spans="1:19" ht="30.75" customHeight="1" x14ac:dyDescent="0.25">
      <c r="A32" s="709">
        <f t="shared" si="0"/>
        <v>21</v>
      </c>
      <c r="B32" s="519" t="s">
        <v>776</v>
      </c>
      <c r="C32" s="726" t="s">
        <v>1210</v>
      </c>
      <c r="D32" s="723" t="s">
        <v>354</v>
      </c>
      <c r="E32" s="522">
        <v>1920</v>
      </c>
      <c r="F32" s="522">
        <v>1920</v>
      </c>
      <c r="G32" s="522">
        <v>1920</v>
      </c>
      <c r="H32" s="522">
        <v>1920</v>
      </c>
    </row>
    <row r="33" spans="1:19" s="727" customFormat="1" ht="27.75" customHeight="1" x14ac:dyDescent="0.25">
      <c r="A33" s="709">
        <f t="shared" si="0"/>
        <v>22</v>
      </c>
      <c r="B33" s="519" t="s">
        <v>776</v>
      </c>
      <c r="C33" s="726" t="s">
        <v>1211</v>
      </c>
      <c r="D33" s="723" t="s">
        <v>354</v>
      </c>
      <c r="E33" s="522">
        <v>1800</v>
      </c>
      <c r="F33" s="522">
        <v>1800</v>
      </c>
      <c r="G33" s="522">
        <v>1800</v>
      </c>
      <c r="H33" s="522">
        <v>1800</v>
      </c>
      <c r="I33" s="523"/>
      <c r="J33" s="523"/>
      <c r="K33" s="523"/>
      <c r="L33" s="523"/>
      <c r="M33" s="523"/>
      <c r="N33" s="523"/>
      <c r="O33" s="523"/>
      <c r="P33" s="523"/>
      <c r="Q33" s="523"/>
      <c r="R33" s="523"/>
      <c r="S33" s="523"/>
    </row>
    <row r="34" spans="1:19" ht="27.75" customHeight="1" x14ac:dyDescent="0.25">
      <c r="A34" s="709">
        <f t="shared" si="0"/>
        <v>23</v>
      </c>
      <c r="B34" s="519" t="s">
        <v>777</v>
      </c>
      <c r="C34" s="726" t="s">
        <v>778</v>
      </c>
      <c r="D34" s="723" t="s">
        <v>354</v>
      </c>
      <c r="E34" s="522">
        <v>30</v>
      </c>
      <c r="F34" s="522">
        <v>30</v>
      </c>
      <c r="G34" s="522">
        <v>30</v>
      </c>
      <c r="H34" s="522">
        <v>30</v>
      </c>
    </row>
    <row r="35" spans="1:19" ht="21.75" customHeight="1" x14ac:dyDescent="0.25">
      <c r="A35" s="709">
        <f t="shared" si="0"/>
        <v>24</v>
      </c>
      <c r="B35" s="519" t="s">
        <v>779</v>
      </c>
      <c r="C35" s="726" t="s">
        <v>780</v>
      </c>
      <c r="D35" s="723">
        <v>44196</v>
      </c>
      <c r="E35" s="522">
        <v>153</v>
      </c>
      <c r="F35" s="522">
        <v>153</v>
      </c>
      <c r="G35" s="522">
        <v>153</v>
      </c>
      <c r="H35" s="522">
        <v>153</v>
      </c>
    </row>
    <row r="36" spans="1:19" ht="24.75" customHeight="1" x14ac:dyDescent="0.25">
      <c r="A36" s="709">
        <f t="shared" si="0"/>
        <v>25</v>
      </c>
      <c r="B36" s="519" t="s">
        <v>781</v>
      </c>
      <c r="C36" s="726" t="s">
        <v>782</v>
      </c>
      <c r="D36" s="723" t="s">
        <v>354</v>
      </c>
      <c r="E36" s="522">
        <v>457</v>
      </c>
      <c r="F36" s="522">
        <v>457</v>
      </c>
      <c r="G36" s="522">
        <v>457</v>
      </c>
      <c r="H36" s="522">
        <v>457</v>
      </c>
    </row>
    <row r="37" spans="1:19" ht="28.5" customHeight="1" x14ac:dyDescent="0.25">
      <c r="A37" s="709">
        <f t="shared" si="0"/>
        <v>26</v>
      </c>
      <c r="B37" s="519" t="s">
        <v>783</v>
      </c>
      <c r="C37" s="726" t="s">
        <v>986</v>
      </c>
      <c r="D37" s="723" t="s">
        <v>354</v>
      </c>
      <c r="E37" s="522">
        <v>198</v>
      </c>
      <c r="F37" s="522">
        <v>198</v>
      </c>
      <c r="G37" s="522">
        <v>198</v>
      </c>
      <c r="H37" s="522">
        <v>198</v>
      </c>
    </row>
    <row r="38" spans="1:19" ht="36" customHeight="1" x14ac:dyDescent="0.25">
      <c r="A38" s="709">
        <f t="shared" si="0"/>
        <v>27</v>
      </c>
      <c r="B38" s="519" t="s">
        <v>784</v>
      </c>
      <c r="C38" s="726" t="s">
        <v>785</v>
      </c>
      <c r="D38" s="723" t="s">
        <v>354</v>
      </c>
      <c r="E38" s="522">
        <v>217</v>
      </c>
      <c r="F38" s="522">
        <v>217</v>
      </c>
      <c r="G38" s="522">
        <v>217</v>
      </c>
      <c r="H38" s="522">
        <v>217</v>
      </c>
    </row>
    <row r="39" spans="1:19" ht="26.25" customHeight="1" x14ac:dyDescent="0.25">
      <c r="A39" s="709">
        <f t="shared" si="0"/>
        <v>28</v>
      </c>
      <c r="B39" s="519" t="s">
        <v>131</v>
      </c>
      <c r="C39" s="726" t="s">
        <v>786</v>
      </c>
      <c r="D39" s="723" t="s">
        <v>354</v>
      </c>
      <c r="E39" s="522">
        <v>1200</v>
      </c>
      <c r="F39" s="522">
        <v>1200</v>
      </c>
      <c r="G39" s="522">
        <v>1200</v>
      </c>
      <c r="H39" s="522">
        <v>1200</v>
      </c>
    </row>
    <row r="40" spans="1:19" ht="30.75" customHeight="1" x14ac:dyDescent="0.25">
      <c r="A40" s="709">
        <f t="shared" si="0"/>
        <v>29</v>
      </c>
      <c r="B40" s="519" t="s">
        <v>787</v>
      </c>
      <c r="C40" s="726" t="s">
        <v>788</v>
      </c>
      <c r="D40" s="723">
        <v>43709</v>
      </c>
      <c r="E40" s="522">
        <v>2439</v>
      </c>
      <c r="F40" s="522">
        <v>2439</v>
      </c>
      <c r="G40" s="522">
        <v>2439</v>
      </c>
      <c r="H40" s="522">
        <v>2439</v>
      </c>
    </row>
    <row r="41" spans="1:19" ht="36" customHeight="1" x14ac:dyDescent="0.25">
      <c r="A41" s="709">
        <f t="shared" si="0"/>
        <v>30</v>
      </c>
      <c r="B41" s="728" t="s">
        <v>789</v>
      </c>
      <c r="C41" s="726" t="s">
        <v>790</v>
      </c>
      <c r="D41" s="723" t="s">
        <v>354</v>
      </c>
      <c r="E41" s="521">
        <v>508</v>
      </c>
      <c r="F41" s="521">
        <v>508</v>
      </c>
      <c r="G41" s="521">
        <v>508</v>
      </c>
      <c r="H41" s="521">
        <v>508</v>
      </c>
    </row>
    <row r="42" spans="1:19" ht="30" customHeight="1" x14ac:dyDescent="0.25">
      <c r="A42" s="709">
        <f t="shared" si="0"/>
        <v>31</v>
      </c>
      <c r="B42" s="728"/>
      <c r="C42" s="726" t="s">
        <v>791</v>
      </c>
      <c r="D42" s="723" t="s">
        <v>354</v>
      </c>
      <c r="E42" s="521">
        <v>230</v>
      </c>
      <c r="F42" s="521">
        <v>230</v>
      </c>
      <c r="G42" s="521">
        <v>230</v>
      </c>
      <c r="H42" s="521">
        <v>230</v>
      </c>
    </row>
    <row r="43" spans="1:19" ht="15" x14ac:dyDescent="0.25">
      <c r="A43" s="709">
        <v>32</v>
      </c>
      <c r="B43" s="519" t="s">
        <v>1212</v>
      </c>
      <c r="C43" s="519" t="s">
        <v>792</v>
      </c>
      <c r="D43" s="723">
        <v>43251</v>
      </c>
      <c r="E43" s="521">
        <v>302</v>
      </c>
      <c r="F43" s="521">
        <v>302</v>
      </c>
      <c r="G43" s="521">
        <v>302</v>
      </c>
      <c r="H43" s="521">
        <v>302</v>
      </c>
    </row>
    <row r="44" spans="1:19" ht="15" x14ac:dyDescent="0.25">
      <c r="A44" s="709">
        <v>33</v>
      </c>
      <c r="B44" s="519" t="s">
        <v>793</v>
      </c>
      <c r="C44" s="519" t="s">
        <v>794</v>
      </c>
      <c r="D44" s="723" t="s">
        <v>1213</v>
      </c>
      <c r="E44" s="521">
        <v>10672</v>
      </c>
      <c r="F44" s="521">
        <v>10672</v>
      </c>
      <c r="G44" s="521">
        <v>10672</v>
      </c>
      <c r="H44" s="521"/>
    </row>
    <row r="45" spans="1:19" ht="15" x14ac:dyDescent="0.25">
      <c r="A45" s="709">
        <f t="shared" si="0"/>
        <v>34</v>
      </c>
      <c r="B45" s="519" t="s">
        <v>795</v>
      </c>
      <c r="C45" s="519" t="s">
        <v>796</v>
      </c>
      <c r="D45" s="723" t="s">
        <v>354</v>
      </c>
      <c r="E45" s="521">
        <v>5760</v>
      </c>
      <c r="F45" s="521">
        <v>5760</v>
      </c>
      <c r="G45" s="521">
        <v>5760</v>
      </c>
      <c r="H45" s="521">
        <v>5760</v>
      </c>
    </row>
    <row r="46" spans="1:19" ht="15" x14ac:dyDescent="0.25">
      <c r="A46" s="709">
        <f t="shared" si="0"/>
        <v>35</v>
      </c>
      <c r="B46" s="519" t="s">
        <v>797</v>
      </c>
      <c r="C46" s="519" t="s">
        <v>798</v>
      </c>
      <c r="D46" s="723" t="s">
        <v>354</v>
      </c>
      <c r="E46" s="521">
        <v>3658</v>
      </c>
      <c r="F46" s="521">
        <v>3658</v>
      </c>
      <c r="G46" s="521">
        <v>3658</v>
      </c>
      <c r="H46" s="521">
        <v>3658</v>
      </c>
    </row>
    <row r="47" spans="1:19" ht="15" x14ac:dyDescent="0.25">
      <c r="A47" s="709">
        <f t="shared" si="0"/>
        <v>36</v>
      </c>
      <c r="B47" s="519" t="s">
        <v>119</v>
      </c>
      <c r="C47" s="519" t="s">
        <v>800</v>
      </c>
      <c r="D47" s="723" t="s">
        <v>354</v>
      </c>
      <c r="E47" s="521">
        <v>242</v>
      </c>
      <c r="F47" s="521">
        <v>242</v>
      </c>
      <c r="G47" s="521">
        <v>242</v>
      </c>
      <c r="H47" s="521">
        <v>242</v>
      </c>
    </row>
    <row r="48" spans="1:19" ht="15" x14ac:dyDescent="0.25">
      <c r="A48" s="709">
        <f t="shared" si="0"/>
        <v>37</v>
      </c>
      <c r="B48" s="519" t="s">
        <v>801</v>
      </c>
      <c r="C48" s="519" t="s">
        <v>802</v>
      </c>
      <c r="D48" s="723" t="s">
        <v>354</v>
      </c>
      <c r="E48" s="521">
        <v>993</v>
      </c>
      <c r="F48" s="521">
        <v>993</v>
      </c>
      <c r="G48" s="521">
        <v>993</v>
      </c>
      <c r="H48" s="521">
        <v>993</v>
      </c>
    </row>
    <row r="49" spans="1:11" ht="30" x14ac:dyDescent="0.25">
      <c r="A49" s="709">
        <f t="shared" si="0"/>
        <v>38</v>
      </c>
      <c r="B49" s="728" t="s">
        <v>803</v>
      </c>
      <c r="C49" s="726" t="s">
        <v>804</v>
      </c>
      <c r="D49" s="723" t="s">
        <v>354</v>
      </c>
      <c r="E49" s="521">
        <v>38</v>
      </c>
      <c r="F49" s="521">
        <v>38</v>
      </c>
      <c r="G49" s="521">
        <v>38</v>
      </c>
      <c r="H49" s="521">
        <v>38</v>
      </c>
    </row>
    <row r="50" spans="1:11" ht="15" customHeight="1" x14ac:dyDescent="0.25">
      <c r="A50" s="709">
        <f t="shared" si="0"/>
        <v>39</v>
      </c>
      <c r="B50" s="519"/>
      <c r="C50" s="519" t="s">
        <v>805</v>
      </c>
      <c r="D50" s="723" t="s">
        <v>354</v>
      </c>
      <c r="E50" s="521">
        <v>45</v>
      </c>
      <c r="F50" s="521">
        <v>45</v>
      </c>
      <c r="G50" s="521">
        <v>45</v>
      </c>
      <c r="H50" s="521">
        <v>45</v>
      </c>
    </row>
    <row r="51" spans="1:11" ht="15" x14ac:dyDescent="0.25">
      <c r="A51" s="709">
        <f t="shared" si="0"/>
        <v>40</v>
      </c>
      <c r="B51" s="519" t="s">
        <v>1214</v>
      </c>
      <c r="C51" s="519" t="s">
        <v>806</v>
      </c>
      <c r="D51" s="723">
        <v>43190</v>
      </c>
      <c r="E51" s="521">
        <v>610</v>
      </c>
      <c r="F51" s="521">
        <v>610</v>
      </c>
      <c r="G51" s="521">
        <v>610</v>
      </c>
      <c r="H51" s="521">
        <v>610</v>
      </c>
    </row>
    <row r="52" spans="1:11" ht="15" x14ac:dyDescent="0.25">
      <c r="A52" s="709">
        <f t="shared" si="0"/>
        <v>41</v>
      </c>
      <c r="B52" s="519" t="s">
        <v>1215</v>
      </c>
      <c r="C52" s="519" t="s">
        <v>807</v>
      </c>
      <c r="D52" s="723">
        <v>43190</v>
      </c>
      <c r="E52" s="521">
        <v>610</v>
      </c>
      <c r="F52" s="521">
        <v>610</v>
      </c>
      <c r="G52" s="521">
        <v>610</v>
      </c>
      <c r="H52" s="521">
        <v>610</v>
      </c>
    </row>
    <row r="53" spans="1:11" ht="15" x14ac:dyDescent="0.25">
      <c r="A53" s="709">
        <f t="shared" si="0"/>
        <v>42</v>
      </c>
      <c r="B53" s="519" t="s">
        <v>808</v>
      </c>
      <c r="C53" s="519" t="s">
        <v>809</v>
      </c>
      <c r="D53" s="723">
        <v>42825</v>
      </c>
      <c r="E53" s="521">
        <v>210</v>
      </c>
      <c r="F53" s="521">
        <v>210</v>
      </c>
      <c r="G53" s="521">
        <v>210</v>
      </c>
      <c r="H53" s="521">
        <v>210</v>
      </c>
    </row>
    <row r="54" spans="1:11" ht="15" x14ac:dyDescent="0.25">
      <c r="A54" s="709">
        <f t="shared" si="0"/>
        <v>43</v>
      </c>
      <c r="B54" s="519" t="s">
        <v>810</v>
      </c>
      <c r="C54" s="519" t="s">
        <v>811</v>
      </c>
      <c r="D54" s="723">
        <v>42855</v>
      </c>
      <c r="E54" s="521">
        <v>972</v>
      </c>
      <c r="F54" s="521">
        <v>972</v>
      </c>
      <c r="G54" s="521">
        <v>972</v>
      </c>
      <c r="H54" s="521">
        <v>972</v>
      </c>
    </row>
    <row r="55" spans="1:11" ht="15" x14ac:dyDescent="0.25">
      <c r="A55" s="709">
        <f t="shared" si="0"/>
        <v>44</v>
      </c>
      <c r="B55" s="519" t="s">
        <v>799</v>
      </c>
      <c r="C55" s="519" t="s">
        <v>812</v>
      </c>
      <c r="D55" s="723" t="s">
        <v>354</v>
      </c>
      <c r="E55" s="521">
        <v>486</v>
      </c>
      <c r="F55" s="521">
        <v>486</v>
      </c>
      <c r="G55" s="521">
        <v>486</v>
      </c>
      <c r="H55" s="521">
        <v>486</v>
      </c>
    </row>
    <row r="56" spans="1:11" ht="15.75" x14ac:dyDescent="0.25">
      <c r="A56" s="709">
        <v>45</v>
      </c>
      <c r="B56" s="729"/>
      <c r="C56" s="519" t="s">
        <v>813</v>
      </c>
      <c r="D56" s="730" t="s">
        <v>354</v>
      </c>
      <c r="E56" s="521">
        <v>175</v>
      </c>
      <c r="F56" s="521">
        <v>175</v>
      </c>
      <c r="G56" s="521">
        <v>175</v>
      </c>
      <c r="H56" s="521">
        <v>175</v>
      </c>
    </row>
    <row r="57" spans="1:11" ht="15.75" x14ac:dyDescent="0.25">
      <c r="A57" s="709">
        <f t="shared" si="0"/>
        <v>46</v>
      </c>
      <c r="B57" s="729"/>
      <c r="C57" s="519" t="s">
        <v>814</v>
      </c>
      <c r="D57" s="730" t="s">
        <v>354</v>
      </c>
      <c r="E57" s="521">
        <v>55</v>
      </c>
      <c r="F57" s="521">
        <v>55</v>
      </c>
      <c r="G57" s="521">
        <v>55</v>
      </c>
      <c r="H57" s="521">
        <v>55</v>
      </c>
    </row>
    <row r="58" spans="1:11" ht="15" x14ac:dyDescent="0.25">
      <c r="A58" s="709">
        <f t="shared" si="0"/>
        <v>47</v>
      </c>
      <c r="B58" s="729"/>
      <c r="C58" s="519" t="s">
        <v>815</v>
      </c>
      <c r="D58" s="731">
        <v>45291</v>
      </c>
      <c r="E58" s="521">
        <v>19500</v>
      </c>
      <c r="F58" s="521">
        <v>19500</v>
      </c>
      <c r="G58" s="521">
        <v>19500</v>
      </c>
      <c r="H58" s="521">
        <v>19500</v>
      </c>
    </row>
    <row r="59" spans="1:11" ht="15.75" x14ac:dyDescent="0.25">
      <c r="A59" s="709">
        <f t="shared" si="0"/>
        <v>48</v>
      </c>
      <c r="B59" s="729"/>
      <c r="C59" s="519" t="s">
        <v>816</v>
      </c>
      <c r="D59" s="730" t="s">
        <v>354</v>
      </c>
      <c r="E59" s="521">
        <v>37</v>
      </c>
      <c r="F59" s="521">
        <v>37</v>
      </c>
      <c r="G59" s="521">
        <v>37</v>
      </c>
      <c r="H59" s="521">
        <v>37</v>
      </c>
    </row>
    <row r="60" spans="1:11" ht="15.75" x14ac:dyDescent="0.25">
      <c r="A60" s="709">
        <f t="shared" si="0"/>
        <v>49</v>
      </c>
      <c r="B60" s="729"/>
      <c r="C60" s="519" t="s">
        <v>817</v>
      </c>
      <c r="D60" s="730" t="s">
        <v>354</v>
      </c>
      <c r="E60" s="521">
        <v>53</v>
      </c>
      <c r="F60" s="521">
        <v>53</v>
      </c>
      <c r="G60" s="521">
        <v>53</v>
      </c>
      <c r="H60" s="521">
        <v>53</v>
      </c>
      <c r="K60" s="521"/>
    </row>
    <row r="61" spans="1:11" ht="15.75" x14ac:dyDescent="0.25">
      <c r="A61" s="709">
        <f t="shared" si="0"/>
        <v>50</v>
      </c>
      <c r="B61" s="729"/>
      <c r="C61" s="519" t="s">
        <v>818</v>
      </c>
      <c r="D61" s="730" t="s">
        <v>354</v>
      </c>
      <c r="E61" s="521">
        <v>104</v>
      </c>
      <c r="F61" s="521">
        <v>104</v>
      </c>
      <c r="G61" s="521">
        <v>104</v>
      </c>
      <c r="H61" s="521">
        <v>104</v>
      </c>
    </row>
    <row r="62" spans="1:11" ht="15.75" x14ac:dyDescent="0.25">
      <c r="A62" s="709">
        <f t="shared" si="0"/>
        <v>51</v>
      </c>
      <c r="B62" s="729"/>
      <c r="C62" s="519" t="s">
        <v>819</v>
      </c>
      <c r="D62" s="730" t="s">
        <v>354</v>
      </c>
      <c r="E62" s="521">
        <v>192</v>
      </c>
      <c r="F62" s="521">
        <v>192</v>
      </c>
      <c r="G62" s="521">
        <v>192</v>
      </c>
      <c r="H62" s="521">
        <v>192</v>
      </c>
    </row>
    <row r="63" spans="1:11" ht="15.75" x14ac:dyDescent="0.25">
      <c r="A63" s="709">
        <f t="shared" si="0"/>
        <v>52</v>
      </c>
      <c r="B63" s="729"/>
      <c r="C63" s="519" t="s">
        <v>820</v>
      </c>
      <c r="D63" s="730" t="s">
        <v>354</v>
      </c>
      <c r="E63" s="521">
        <v>134</v>
      </c>
      <c r="F63" s="521">
        <v>134</v>
      </c>
      <c r="G63" s="521">
        <v>134</v>
      </c>
      <c r="H63" s="521">
        <v>134</v>
      </c>
    </row>
    <row r="64" spans="1:11" ht="15.75" x14ac:dyDescent="0.25">
      <c r="A64" s="709">
        <f t="shared" si="0"/>
        <v>53</v>
      </c>
      <c r="B64" s="729"/>
      <c r="C64" s="519" t="s">
        <v>821</v>
      </c>
      <c r="D64" s="730" t="s">
        <v>354</v>
      </c>
      <c r="E64" s="521">
        <v>159</v>
      </c>
      <c r="F64" s="521">
        <v>159</v>
      </c>
      <c r="G64" s="521">
        <v>159</v>
      </c>
      <c r="H64" s="521">
        <v>159</v>
      </c>
    </row>
    <row r="65" spans="1:11" ht="15" x14ac:dyDescent="0.25">
      <c r="A65" s="709">
        <f t="shared" si="0"/>
        <v>54</v>
      </c>
      <c r="B65" s="732">
        <v>68360</v>
      </c>
      <c r="C65" s="519" t="s">
        <v>988</v>
      </c>
      <c r="D65" s="733" t="s">
        <v>354</v>
      </c>
      <c r="E65" s="521">
        <v>1844</v>
      </c>
      <c r="F65" s="521">
        <v>1844</v>
      </c>
      <c r="G65" s="521">
        <v>1844</v>
      </c>
      <c r="H65" s="521">
        <v>1844</v>
      </c>
    </row>
    <row r="66" spans="1:11" ht="15" x14ac:dyDescent="0.25">
      <c r="A66" s="709">
        <f t="shared" si="0"/>
        <v>55</v>
      </c>
      <c r="B66" s="734" t="s">
        <v>931</v>
      </c>
      <c r="C66" s="519" t="s">
        <v>932</v>
      </c>
      <c r="D66" s="731">
        <v>43465</v>
      </c>
      <c r="E66" s="521">
        <v>21000</v>
      </c>
      <c r="F66" s="521">
        <v>21000</v>
      </c>
      <c r="G66" s="521">
        <v>21000</v>
      </c>
      <c r="H66" s="521">
        <v>21000</v>
      </c>
    </row>
    <row r="67" spans="1:11" ht="15" x14ac:dyDescent="0.25">
      <c r="A67" s="709">
        <f t="shared" si="0"/>
        <v>56</v>
      </c>
      <c r="B67" s="734" t="s">
        <v>933</v>
      </c>
      <c r="C67" s="519" t="s">
        <v>934</v>
      </c>
      <c r="D67" s="733" t="s">
        <v>354</v>
      </c>
      <c r="E67" s="521">
        <v>31000</v>
      </c>
      <c r="F67" s="521">
        <v>31000</v>
      </c>
      <c r="G67" s="521">
        <v>31000</v>
      </c>
      <c r="H67" s="521">
        <v>31000</v>
      </c>
      <c r="I67" s="638"/>
    </row>
    <row r="68" spans="1:11" ht="15" x14ac:dyDescent="0.25">
      <c r="A68" s="709">
        <f t="shared" si="0"/>
        <v>57</v>
      </c>
      <c r="B68" s="735"/>
      <c r="C68" s="519" t="s">
        <v>935</v>
      </c>
      <c r="D68" s="733" t="s">
        <v>354</v>
      </c>
      <c r="E68" s="521">
        <v>732</v>
      </c>
      <c r="F68" s="521">
        <v>732</v>
      </c>
      <c r="G68" s="521">
        <v>732</v>
      </c>
      <c r="H68" s="521">
        <v>732</v>
      </c>
      <c r="I68" s="638"/>
    </row>
    <row r="69" spans="1:11" ht="15" x14ac:dyDescent="0.25">
      <c r="A69" s="709">
        <v>61</v>
      </c>
      <c r="B69" s="734" t="s">
        <v>1009</v>
      </c>
      <c r="C69" s="519" t="s">
        <v>1010</v>
      </c>
      <c r="D69" s="733" t="s">
        <v>354</v>
      </c>
      <c r="E69" s="521">
        <v>3277</v>
      </c>
      <c r="F69" s="521">
        <v>3277</v>
      </c>
      <c r="G69" s="521">
        <v>3277</v>
      </c>
      <c r="H69" s="521">
        <v>3277</v>
      </c>
      <c r="I69" s="638"/>
    </row>
    <row r="70" spans="1:11" ht="30" x14ac:dyDescent="0.25">
      <c r="A70" s="709">
        <v>62</v>
      </c>
      <c r="B70" s="734" t="s">
        <v>1216</v>
      </c>
      <c r="C70" s="587" t="s">
        <v>1217</v>
      </c>
      <c r="D70" s="733" t="s">
        <v>354</v>
      </c>
      <c r="E70" s="521">
        <v>600</v>
      </c>
      <c r="F70" s="521">
        <v>600</v>
      </c>
      <c r="G70" s="521">
        <v>600</v>
      </c>
      <c r="H70" s="521">
        <v>600</v>
      </c>
      <c r="I70" s="638"/>
      <c r="J70" s="638"/>
      <c r="K70" s="638"/>
    </row>
    <row r="71" spans="1:11" ht="15" x14ac:dyDescent="0.25">
      <c r="A71" s="709">
        <v>63</v>
      </c>
      <c r="B71" s="734" t="s">
        <v>1218</v>
      </c>
      <c r="C71" s="519" t="s">
        <v>1219</v>
      </c>
      <c r="D71" s="733" t="s">
        <v>354</v>
      </c>
      <c r="E71" s="521">
        <v>283</v>
      </c>
      <c r="F71" s="521">
        <v>283</v>
      </c>
      <c r="G71" s="521">
        <v>283</v>
      </c>
      <c r="H71" s="521">
        <v>283</v>
      </c>
      <c r="I71" s="736"/>
      <c r="J71" s="736"/>
      <c r="K71" s="736"/>
    </row>
    <row r="72" spans="1:11" ht="15" x14ac:dyDescent="0.25">
      <c r="A72" s="709">
        <v>64</v>
      </c>
      <c r="B72" s="734" t="s">
        <v>1220</v>
      </c>
      <c r="C72" s="519" t="s">
        <v>1221</v>
      </c>
      <c r="D72" s="731">
        <v>46727</v>
      </c>
      <c r="E72" s="521"/>
      <c r="F72" s="521"/>
      <c r="G72" s="521">
        <v>155396</v>
      </c>
      <c r="H72" s="521">
        <v>155396</v>
      </c>
      <c r="I72" s="736"/>
      <c r="J72" s="736"/>
      <c r="K72" s="736"/>
    </row>
    <row r="73" spans="1:11" ht="15" x14ac:dyDescent="0.25">
      <c r="A73" s="709">
        <v>65</v>
      </c>
      <c r="B73" s="734" t="s">
        <v>1222</v>
      </c>
      <c r="C73" s="519" t="s">
        <v>1223</v>
      </c>
      <c r="D73" s="731" t="s">
        <v>354</v>
      </c>
      <c r="E73" s="521">
        <v>3000</v>
      </c>
      <c r="F73" s="521">
        <v>3000</v>
      </c>
      <c r="G73" s="521">
        <v>3000</v>
      </c>
      <c r="H73" s="521">
        <v>3000</v>
      </c>
      <c r="I73" s="736"/>
      <c r="J73" s="736"/>
      <c r="K73" s="736"/>
    </row>
    <row r="74" spans="1:11" ht="15" x14ac:dyDescent="0.25">
      <c r="A74" s="709">
        <v>66</v>
      </c>
      <c r="B74" s="734" t="s">
        <v>1224</v>
      </c>
      <c r="C74" s="519" t="s">
        <v>1225</v>
      </c>
      <c r="D74" s="731">
        <v>44105</v>
      </c>
      <c r="E74" s="521">
        <v>350</v>
      </c>
      <c r="F74" s="521">
        <v>350</v>
      </c>
      <c r="G74" s="521">
        <v>263</v>
      </c>
      <c r="H74" s="521">
        <v>0</v>
      </c>
      <c r="I74" s="736"/>
      <c r="J74" s="736"/>
      <c r="K74" s="736"/>
    </row>
    <row r="75" spans="1:11" ht="15.75" x14ac:dyDescent="0.25">
      <c r="A75" s="709"/>
      <c r="B75" s="729"/>
      <c r="C75" s="729"/>
      <c r="D75" s="737"/>
      <c r="E75" s="738">
        <f>SUM(E11:E74)</f>
        <v>186649</v>
      </c>
      <c r="F75" s="739">
        <f>SUM(F12:F74)</f>
        <v>186649</v>
      </c>
      <c r="G75" s="739">
        <f>SUM(G12:G74)</f>
        <v>341958</v>
      </c>
      <c r="H75" s="739">
        <f>SUM(H12:H74)</f>
        <v>331023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322" customWidth="1"/>
    <col min="2" max="2" width="27.7109375" style="334" customWidth="1"/>
    <col min="3" max="3" width="47.85546875" style="334" customWidth="1"/>
    <col min="4" max="4" width="9.140625" style="323"/>
    <col min="5" max="5" width="8.7109375" style="334" bestFit="1" customWidth="1"/>
    <col min="6" max="6" width="8.42578125" style="334" bestFit="1" customWidth="1"/>
    <col min="7" max="7" width="8.7109375" style="334" customWidth="1"/>
    <col min="8" max="8" width="8.85546875" style="334" customWidth="1"/>
    <col min="9" max="9" width="9.140625" style="334"/>
    <col min="10" max="16384" width="9.140625" style="325"/>
  </cols>
  <sheetData>
    <row r="1" spans="1:11" ht="14.1" customHeight="1" x14ac:dyDescent="0.25">
      <c r="C1" s="1556" t="s">
        <v>170</v>
      </c>
      <c r="D1" s="1556"/>
      <c r="E1" s="1556"/>
      <c r="F1" s="1556"/>
      <c r="G1" s="1556"/>
      <c r="H1" s="1556"/>
    </row>
    <row r="2" spans="1:11" ht="20.100000000000001" customHeight="1" x14ac:dyDescent="0.25">
      <c r="A2" s="1539" t="s">
        <v>338</v>
      </c>
      <c r="B2" s="1557"/>
      <c r="C2" s="1557"/>
      <c r="D2" s="1557"/>
      <c r="E2" s="1557"/>
      <c r="F2" s="1557"/>
      <c r="G2" s="1557"/>
      <c r="H2" s="1557"/>
    </row>
    <row r="3" spans="1:11" ht="14.1" customHeight="1" x14ac:dyDescent="0.25">
      <c r="A3" s="1539" t="s">
        <v>339</v>
      </c>
      <c r="B3" s="1557"/>
      <c r="C3" s="1557"/>
      <c r="D3" s="1557"/>
      <c r="E3" s="1557"/>
      <c r="F3" s="1557"/>
      <c r="G3" s="1557"/>
      <c r="H3" s="1557"/>
    </row>
    <row r="4" spans="1:11" ht="14.1" customHeight="1" x14ac:dyDescent="0.25">
      <c r="A4" s="1540" t="s">
        <v>55</v>
      </c>
      <c r="B4" s="1558"/>
      <c r="C4" s="1558"/>
      <c r="D4" s="1558"/>
      <c r="E4" s="1558"/>
      <c r="F4" s="1558"/>
      <c r="G4" s="1558"/>
      <c r="H4" s="1558"/>
    </row>
    <row r="5" spans="1:11" ht="14.1" customHeight="1" x14ac:dyDescent="0.25">
      <c r="A5" s="321"/>
      <c r="B5" s="322"/>
      <c r="C5" s="322"/>
      <c r="D5" s="322"/>
      <c r="E5" s="322"/>
      <c r="F5" s="322"/>
      <c r="G5" s="322"/>
      <c r="H5" s="322"/>
    </row>
    <row r="6" spans="1:11" ht="14.1" customHeight="1" x14ac:dyDescent="0.25">
      <c r="A6" s="1548"/>
      <c r="B6" s="324" t="s">
        <v>57</v>
      </c>
      <c r="C6" s="324" t="s">
        <v>58</v>
      </c>
      <c r="D6" s="324" t="s">
        <v>59</v>
      </c>
      <c r="E6" s="324" t="s">
        <v>60</v>
      </c>
      <c r="F6" s="324" t="s">
        <v>499</v>
      </c>
      <c r="G6" s="324" t="s">
        <v>500</v>
      </c>
      <c r="H6" s="324" t="s">
        <v>501</v>
      </c>
      <c r="I6" s="324" t="s">
        <v>629</v>
      </c>
    </row>
    <row r="7" spans="1:11" s="364" customFormat="1" ht="13.5" customHeight="1" x14ac:dyDescent="0.25">
      <c r="A7" s="1548"/>
      <c r="B7" s="1555" t="s">
        <v>340</v>
      </c>
      <c r="C7" s="1559" t="s">
        <v>341</v>
      </c>
      <c r="D7" s="1559" t="s">
        <v>342</v>
      </c>
      <c r="E7" s="1553" t="s">
        <v>343</v>
      </c>
      <c r="F7" s="1554"/>
      <c r="G7" s="1554"/>
      <c r="H7" s="1554"/>
      <c r="I7" s="1555"/>
      <c r="J7" s="363"/>
      <c r="K7" s="363"/>
    </row>
    <row r="8" spans="1:11" s="364" customFormat="1" ht="13.5" customHeight="1" x14ac:dyDescent="0.25">
      <c r="A8" s="1548"/>
      <c r="B8" s="1555"/>
      <c r="C8" s="1559"/>
      <c r="D8" s="1559"/>
      <c r="E8" s="365" t="s">
        <v>344</v>
      </c>
      <c r="F8" s="365" t="s">
        <v>345</v>
      </c>
      <c r="G8" s="365" t="s">
        <v>346</v>
      </c>
      <c r="H8" s="366" t="s">
        <v>347</v>
      </c>
      <c r="I8" s="365" t="s">
        <v>166</v>
      </c>
      <c r="J8" s="367"/>
      <c r="K8" s="367"/>
    </row>
    <row r="9" spans="1:11" s="364" customFormat="1" ht="13.5" customHeight="1" x14ac:dyDescent="0.25">
      <c r="A9" s="332" t="s">
        <v>508</v>
      </c>
      <c r="B9" s="368" t="s">
        <v>348</v>
      </c>
      <c r="C9" s="369"/>
      <c r="D9" s="370"/>
      <c r="E9" s="369"/>
      <c r="F9" s="369"/>
      <c r="G9" s="369"/>
      <c r="H9" s="369"/>
      <c r="I9" s="320"/>
    </row>
    <row r="10" spans="1:11" ht="13.5" customHeight="1" x14ac:dyDescent="0.25">
      <c r="A10" s="332" t="s">
        <v>516</v>
      </c>
      <c r="B10" s="371" t="s">
        <v>349</v>
      </c>
    </row>
    <row r="11" spans="1:11" ht="13.5" customHeight="1" x14ac:dyDescent="0.25">
      <c r="A11" s="332" t="s">
        <v>517</v>
      </c>
      <c r="B11" s="354" t="s">
        <v>350</v>
      </c>
      <c r="C11" s="355" t="s">
        <v>351</v>
      </c>
      <c r="D11" s="356"/>
      <c r="E11" s="355"/>
      <c r="F11" s="355"/>
      <c r="G11" s="355"/>
      <c r="H11" s="355"/>
    </row>
    <row r="12" spans="1:11" ht="13.5" customHeight="1" x14ac:dyDescent="0.25">
      <c r="A12" s="332" t="s">
        <v>518</v>
      </c>
      <c r="B12" s="354" t="s">
        <v>352</v>
      </c>
      <c r="C12" s="355" t="s">
        <v>353</v>
      </c>
      <c r="D12" s="323" t="s">
        <v>354</v>
      </c>
      <c r="E12" s="357">
        <v>300</v>
      </c>
      <c r="F12" s="357">
        <v>300</v>
      </c>
      <c r="G12" s="357">
        <v>300</v>
      </c>
      <c r="H12" s="357">
        <v>300</v>
      </c>
    </row>
    <row r="13" spans="1:11" ht="13.5" customHeight="1" x14ac:dyDescent="0.25">
      <c r="A13" s="332" t="s">
        <v>519</v>
      </c>
      <c r="B13" s="333" t="s">
        <v>355</v>
      </c>
      <c r="C13" s="334" t="s">
        <v>356</v>
      </c>
      <c r="D13" s="323" t="s">
        <v>354</v>
      </c>
      <c r="E13" s="331">
        <v>100</v>
      </c>
      <c r="F13" s="331">
        <v>100</v>
      </c>
      <c r="G13" s="331">
        <v>100</v>
      </c>
      <c r="H13" s="331">
        <v>100</v>
      </c>
      <c r="I13" s="334">
        <v>100</v>
      </c>
    </row>
    <row r="14" spans="1:11" ht="13.5" customHeight="1" x14ac:dyDescent="0.25">
      <c r="A14" s="332" t="s">
        <v>520</v>
      </c>
      <c r="B14" s="333" t="s">
        <v>357</v>
      </c>
      <c r="C14" s="334" t="s">
        <v>358</v>
      </c>
      <c r="D14" s="323" t="s">
        <v>354</v>
      </c>
      <c r="E14" s="331">
        <v>24554</v>
      </c>
      <c r="F14" s="331">
        <v>19393</v>
      </c>
      <c r="G14" s="331"/>
      <c r="H14" s="331">
        <v>24241</v>
      </c>
      <c r="I14" s="334">
        <v>24250</v>
      </c>
    </row>
    <row r="15" spans="1:11" ht="13.5" customHeight="1" x14ac:dyDescent="0.25">
      <c r="A15" s="332" t="s">
        <v>521</v>
      </c>
      <c r="B15" s="333" t="s">
        <v>359</v>
      </c>
      <c r="C15" s="334" t="s">
        <v>360</v>
      </c>
      <c r="D15" s="323" t="s">
        <v>354</v>
      </c>
      <c r="E15" s="331"/>
      <c r="F15" s="331"/>
      <c r="G15" s="331"/>
      <c r="H15" s="331"/>
    </row>
    <row r="16" spans="1:11" ht="13.5" customHeight="1" x14ac:dyDescent="0.25">
      <c r="A16" s="332" t="s">
        <v>522</v>
      </c>
      <c r="B16" s="333" t="s">
        <v>361</v>
      </c>
      <c r="C16" s="334" t="s">
        <v>362</v>
      </c>
      <c r="D16" s="323" t="s">
        <v>354</v>
      </c>
      <c r="E16" s="331">
        <v>17280</v>
      </c>
      <c r="F16" s="331">
        <v>17280</v>
      </c>
      <c r="G16" s="331">
        <v>17280</v>
      </c>
      <c r="H16" s="331">
        <v>17280</v>
      </c>
      <c r="I16" s="334">
        <v>17280</v>
      </c>
    </row>
    <row r="17" spans="1:13" ht="13.5" customHeight="1" x14ac:dyDescent="0.25">
      <c r="A17" s="332" t="s">
        <v>523</v>
      </c>
      <c r="B17" s="333" t="s">
        <v>363</v>
      </c>
      <c r="C17" s="334" t="s">
        <v>364</v>
      </c>
      <c r="D17" s="323" t="s">
        <v>354</v>
      </c>
      <c r="E17" s="331">
        <v>32739</v>
      </c>
      <c r="F17" s="331">
        <v>25858</v>
      </c>
      <c r="G17" s="331"/>
      <c r="H17" s="331">
        <v>27321</v>
      </c>
      <c r="I17" s="334">
        <v>27350</v>
      </c>
    </row>
    <row r="18" spans="1:13" ht="13.5" customHeight="1" x14ac:dyDescent="0.25">
      <c r="A18" s="332" t="s">
        <v>565</v>
      </c>
      <c r="B18" s="333"/>
      <c r="C18" s="334" t="s">
        <v>365</v>
      </c>
      <c r="D18" s="323" t="s">
        <v>354</v>
      </c>
      <c r="E18" s="331"/>
      <c r="F18" s="331"/>
      <c r="G18" s="331"/>
      <c r="H18" s="331"/>
    </row>
    <row r="19" spans="1:13" ht="13.5" customHeight="1" x14ac:dyDescent="0.25">
      <c r="A19" s="332" t="s">
        <v>566</v>
      </c>
      <c r="B19" s="333"/>
      <c r="C19" s="334" t="s">
        <v>366</v>
      </c>
      <c r="D19" s="323" t="s">
        <v>354</v>
      </c>
      <c r="E19" s="331">
        <v>23050</v>
      </c>
      <c r="F19" s="331">
        <v>23050</v>
      </c>
      <c r="G19" s="331">
        <v>23050</v>
      </c>
      <c r="H19" s="331">
        <v>23050</v>
      </c>
      <c r="I19" s="334">
        <v>23050</v>
      </c>
    </row>
    <row r="20" spans="1:13" ht="18" customHeight="1" x14ac:dyDescent="0.25">
      <c r="A20" s="332" t="s">
        <v>567</v>
      </c>
      <c r="B20" s="333" t="s">
        <v>367</v>
      </c>
      <c r="C20" s="334" t="s">
        <v>368</v>
      </c>
      <c r="D20" s="323" t="s">
        <v>354</v>
      </c>
      <c r="E20" s="331">
        <v>9</v>
      </c>
      <c r="F20" s="331">
        <v>9</v>
      </c>
      <c r="G20" s="331">
        <v>9</v>
      </c>
      <c r="H20" s="331">
        <v>9</v>
      </c>
      <c r="I20" s="334">
        <v>9</v>
      </c>
    </row>
    <row r="21" spans="1:13" ht="13.5" customHeight="1" x14ac:dyDescent="0.25">
      <c r="A21" s="332" t="s">
        <v>568</v>
      </c>
      <c r="B21" s="333" t="s">
        <v>369</v>
      </c>
      <c r="C21" s="334" t="s">
        <v>370</v>
      </c>
      <c r="D21" s="323" t="s">
        <v>354</v>
      </c>
      <c r="E21" s="331">
        <v>50</v>
      </c>
      <c r="F21" s="331">
        <v>50</v>
      </c>
      <c r="G21" s="331">
        <v>50</v>
      </c>
      <c r="H21" s="331">
        <v>100</v>
      </c>
      <c r="I21" s="334">
        <v>100</v>
      </c>
    </row>
    <row r="22" spans="1:13" ht="21" customHeight="1" x14ac:dyDescent="0.25">
      <c r="A22" s="332" t="s">
        <v>569</v>
      </c>
      <c r="B22" s="333" t="s">
        <v>371</v>
      </c>
      <c r="C22" s="334" t="s">
        <v>372</v>
      </c>
      <c r="D22" s="335" t="s">
        <v>354</v>
      </c>
      <c r="E22" s="331">
        <v>875</v>
      </c>
      <c r="F22" s="331">
        <v>875</v>
      </c>
      <c r="G22" s="331">
        <v>875</v>
      </c>
      <c r="H22" s="331">
        <v>875</v>
      </c>
      <c r="I22" s="334">
        <v>875</v>
      </c>
    </row>
    <row r="23" spans="1:13" s="327" customFormat="1" ht="30" x14ac:dyDescent="0.25">
      <c r="A23" s="332" t="s">
        <v>570</v>
      </c>
      <c r="B23" s="336" t="s">
        <v>373</v>
      </c>
      <c r="C23" s="358" t="s">
        <v>374</v>
      </c>
      <c r="D23" s="338" t="s">
        <v>354</v>
      </c>
      <c r="E23" s="359">
        <v>129</v>
      </c>
      <c r="F23" s="359">
        <v>129</v>
      </c>
      <c r="G23" s="359">
        <v>129</v>
      </c>
      <c r="H23" s="359">
        <v>193</v>
      </c>
      <c r="I23" s="344">
        <v>193</v>
      </c>
      <c r="J23" s="351"/>
      <c r="K23" s="360"/>
      <c r="M23" s="361"/>
    </row>
    <row r="24" spans="1:13" ht="17.25" customHeight="1" x14ac:dyDescent="0.25">
      <c r="A24" s="332" t="s">
        <v>571</v>
      </c>
      <c r="B24" s="333" t="s">
        <v>117</v>
      </c>
      <c r="C24" s="334" t="s">
        <v>375</v>
      </c>
      <c r="D24" s="335" t="s">
        <v>354</v>
      </c>
      <c r="E24" s="331">
        <v>125</v>
      </c>
      <c r="F24" s="331">
        <v>125</v>
      </c>
      <c r="G24" s="331">
        <v>125</v>
      </c>
      <c r="H24" s="331">
        <v>147</v>
      </c>
      <c r="I24" s="334">
        <v>147</v>
      </c>
    </row>
    <row r="25" spans="1:13" ht="15.75" customHeight="1" x14ac:dyDescent="0.25">
      <c r="A25" s="332" t="s">
        <v>572</v>
      </c>
      <c r="B25" s="333"/>
      <c r="C25" s="334" t="s">
        <v>376</v>
      </c>
      <c r="D25" s="335" t="s">
        <v>354</v>
      </c>
      <c r="E25" s="331">
        <v>54</v>
      </c>
      <c r="F25" s="331">
        <v>54</v>
      </c>
      <c r="G25" s="331">
        <v>54</v>
      </c>
      <c r="H25" s="331">
        <v>54</v>
      </c>
      <c r="I25" s="334">
        <v>54</v>
      </c>
    </row>
    <row r="26" spans="1:13" ht="13.5" customHeight="1" x14ac:dyDescent="0.25">
      <c r="A26" s="332" t="s">
        <v>574</v>
      </c>
      <c r="B26" s="333" t="s">
        <v>377</v>
      </c>
      <c r="C26" s="334" t="s">
        <v>378</v>
      </c>
      <c r="D26" s="335" t="s">
        <v>354</v>
      </c>
      <c r="E26" s="331">
        <v>100</v>
      </c>
      <c r="F26" s="331">
        <v>100</v>
      </c>
      <c r="G26" s="331">
        <v>100</v>
      </c>
      <c r="H26" s="331">
        <v>100</v>
      </c>
      <c r="I26" s="334">
        <v>100</v>
      </c>
    </row>
    <row r="27" spans="1:13" ht="13.5" customHeight="1" x14ac:dyDescent="0.25">
      <c r="A27" s="332" t="s">
        <v>575</v>
      </c>
      <c r="B27" s="333" t="s">
        <v>379</v>
      </c>
      <c r="C27" s="334" t="s">
        <v>380</v>
      </c>
      <c r="D27" s="335" t="s">
        <v>354</v>
      </c>
      <c r="E27" s="331">
        <v>1575</v>
      </c>
      <c r="F27" s="331">
        <v>1575</v>
      </c>
      <c r="G27" s="331">
        <v>1575</v>
      </c>
      <c r="H27" s="331">
        <v>1575</v>
      </c>
      <c r="I27" s="334">
        <v>1575</v>
      </c>
    </row>
    <row r="28" spans="1:13" ht="13.5" customHeight="1" x14ac:dyDescent="0.25">
      <c r="A28" s="332" t="s">
        <v>576</v>
      </c>
      <c r="B28" s="333" t="s">
        <v>381</v>
      </c>
      <c r="C28" s="334" t="s">
        <v>382</v>
      </c>
      <c r="D28" s="335" t="s">
        <v>354</v>
      </c>
      <c r="E28" s="331">
        <v>60</v>
      </c>
      <c r="F28" s="331">
        <v>60</v>
      </c>
      <c r="G28" s="331">
        <v>60</v>
      </c>
      <c r="H28" s="331">
        <v>60</v>
      </c>
      <c r="I28" s="334">
        <v>60</v>
      </c>
    </row>
    <row r="29" spans="1:13" ht="13.5" customHeight="1" x14ac:dyDescent="0.25">
      <c r="A29" s="332" t="s">
        <v>577</v>
      </c>
      <c r="B29" s="333" t="s">
        <v>383</v>
      </c>
      <c r="C29" s="334" t="s">
        <v>384</v>
      </c>
      <c r="D29" s="323" t="s">
        <v>354</v>
      </c>
      <c r="E29" s="331">
        <v>2900</v>
      </c>
      <c r="F29" s="331">
        <v>2900</v>
      </c>
      <c r="G29" s="331">
        <v>2900</v>
      </c>
      <c r="H29" s="331">
        <v>2000</v>
      </c>
      <c r="I29" s="334">
        <v>2000</v>
      </c>
    </row>
    <row r="30" spans="1:13" ht="18" customHeight="1" x14ac:dyDescent="0.25">
      <c r="A30" s="332" t="s">
        <v>578</v>
      </c>
      <c r="B30" s="336" t="s">
        <v>385</v>
      </c>
      <c r="C30" s="337" t="s">
        <v>386</v>
      </c>
      <c r="D30" s="338" t="s">
        <v>354</v>
      </c>
      <c r="E30" s="339">
        <v>383</v>
      </c>
      <c r="F30" s="339">
        <v>383</v>
      </c>
      <c r="G30" s="339">
        <v>383</v>
      </c>
      <c r="H30" s="339">
        <v>250</v>
      </c>
      <c r="I30" s="334">
        <v>250</v>
      </c>
    </row>
    <row r="31" spans="1:13" ht="18" customHeight="1" x14ac:dyDescent="0.25">
      <c r="A31" s="332" t="s">
        <v>579</v>
      </c>
      <c r="B31" s="336"/>
      <c r="C31" s="337" t="s">
        <v>118</v>
      </c>
      <c r="D31" s="338"/>
      <c r="E31" s="339"/>
      <c r="F31" s="339"/>
      <c r="G31" s="339"/>
      <c r="H31" s="339">
        <v>2980</v>
      </c>
      <c r="I31" s="334">
        <v>2980</v>
      </c>
    </row>
    <row r="32" spans="1:13" ht="18" customHeight="1" x14ac:dyDescent="0.25">
      <c r="A32" s="332" t="s">
        <v>580</v>
      </c>
      <c r="B32" s="336" t="s">
        <v>119</v>
      </c>
      <c r="C32" s="337" t="s">
        <v>120</v>
      </c>
      <c r="D32" s="338" t="s">
        <v>354</v>
      </c>
      <c r="E32" s="339"/>
      <c r="F32" s="339"/>
      <c r="G32" s="339">
        <v>248</v>
      </c>
      <c r="H32" s="339">
        <v>248</v>
      </c>
      <c r="I32" s="334">
        <v>248</v>
      </c>
    </row>
    <row r="33" spans="1:13" ht="15.75" x14ac:dyDescent="0.25">
      <c r="A33" s="332" t="s">
        <v>581</v>
      </c>
      <c r="B33" s="334" t="s">
        <v>387</v>
      </c>
      <c r="C33" s="334" t="s">
        <v>388</v>
      </c>
      <c r="D33" s="323" t="s">
        <v>389</v>
      </c>
      <c r="E33" s="334">
        <v>1936</v>
      </c>
      <c r="F33" s="334">
        <v>1718</v>
      </c>
      <c r="G33" s="334">
        <v>1718</v>
      </c>
      <c r="H33" s="334">
        <v>1650</v>
      </c>
      <c r="I33" s="334">
        <v>1650</v>
      </c>
    </row>
    <row r="34" spans="1:13" ht="17.25" customHeight="1" x14ac:dyDescent="0.25">
      <c r="A34" s="332" t="s">
        <v>601</v>
      </c>
      <c r="B34" s="333" t="s">
        <v>390</v>
      </c>
      <c r="C34" s="334" t="s">
        <v>391</v>
      </c>
      <c r="D34" s="323" t="s">
        <v>354</v>
      </c>
      <c r="E34" s="331">
        <v>2500</v>
      </c>
      <c r="F34" s="331">
        <v>2500</v>
      </c>
      <c r="G34" s="331">
        <v>2500</v>
      </c>
      <c r="H34" s="331">
        <v>2500</v>
      </c>
      <c r="I34" s="334">
        <v>2500</v>
      </c>
    </row>
    <row r="35" spans="1:13" ht="20.25" customHeight="1" x14ac:dyDescent="0.25">
      <c r="A35" s="332" t="s">
        <v>602</v>
      </c>
      <c r="B35" s="333" t="s">
        <v>392</v>
      </c>
      <c r="C35" s="334" t="s">
        <v>393</v>
      </c>
      <c r="D35" s="335">
        <v>42124</v>
      </c>
      <c r="E35" s="331">
        <v>1250</v>
      </c>
      <c r="F35" s="331">
        <v>1250</v>
      </c>
      <c r="G35" s="347">
        <v>1250</v>
      </c>
      <c r="H35" s="347">
        <v>312</v>
      </c>
    </row>
    <row r="36" spans="1:13" ht="13.5" customHeight="1" x14ac:dyDescent="0.25">
      <c r="A36" s="332" t="s">
        <v>603</v>
      </c>
      <c r="B36" s="333"/>
      <c r="C36" s="334" t="s">
        <v>394</v>
      </c>
      <c r="D36" s="323" t="s">
        <v>354</v>
      </c>
      <c r="E36" s="331">
        <v>200</v>
      </c>
      <c r="F36" s="331">
        <v>200</v>
      </c>
      <c r="G36" s="331">
        <v>258</v>
      </c>
      <c r="H36" s="331">
        <v>258</v>
      </c>
      <c r="I36" s="334">
        <v>258</v>
      </c>
    </row>
    <row r="37" spans="1:13" ht="13.5" customHeight="1" x14ac:dyDescent="0.25">
      <c r="A37" s="332" t="s">
        <v>604</v>
      </c>
      <c r="B37" s="333" t="s">
        <v>395</v>
      </c>
      <c r="C37" s="334" t="s">
        <v>396</v>
      </c>
      <c r="D37" s="323" t="s">
        <v>354</v>
      </c>
      <c r="E37" s="331">
        <v>994</v>
      </c>
      <c r="F37" s="331">
        <v>994</v>
      </c>
      <c r="G37" s="331">
        <v>994</v>
      </c>
      <c r="H37" s="331">
        <v>994</v>
      </c>
      <c r="I37" s="334">
        <v>971</v>
      </c>
    </row>
    <row r="38" spans="1:13" ht="13.5" customHeight="1" x14ac:dyDescent="0.25">
      <c r="A38" s="332" t="s">
        <v>605</v>
      </c>
      <c r="B38" s="333" t="s">
        <v>121</v>
      </c>
      <c r="C38" s="334" t="s">
        <v>122</v>
      </c>
      <c r="D38" s="323" t="s">
        <v>354</v>
      </c>
      <c r="E38" s="331">
        <v>750</v>
      </c>
      <c r="F38" s="331">
        <v>750</v>
      </c>
      <c r="G38" s="331">
        <v>762</v>
      </c>
      <c r="H38" s="331">
        <v>762</v>
      </c>
      <c r="I38" s="334">
        <v>762</v>
      </c>
    </row>
    <row r="39" spans="1:13" ht="15.75" x14ac:dyDescent="0.25">
      <c r="A39" s="332" t="s">
        <v>606</v>
      </c>
      <c r="B39" s="333" t="s">
        <v>397</v>
      </c>
      <c r="C39" s="334" t="s">
        <v>398</v>
      </c>
      <c r="D39" s="335" t="s">
        <v>354</v>
      </c>
      <c r="E39" s="323">
        <v>330</v>
      </c>
      <c r="F39" s="334">
        <v>330</v>
      </c>
      <c r="G39" s="334">
        <v>330</v>
      </c>
      <c r="H39" s="334">
        <v>330</v>
      </c>
      <c r="I39" s="334">
        <v>330</v>
      </c>
      <c r="K39" s="348"/>
      <c r="M39" s="326"/>
    </row>
    <row r="40" spans="1:13" ht="15.75" x14ac:dyDescent="0.25">
      <c r="A40" s="332" t="s">
        <v>607</v>
      </c>
      <c r="B40" s="333" t="s">
        <v>399</v>
      </c>
      <c r="C40" s="334" t="s">
        <v>400</v>
      </c>
      <c r="D40" s="335" t="s">
        <v>354</v>
      </c>
      <c r="E40" s="323">
        <v>930</v>
      </c>
      <c r="F40" s="334">
        <v>930</v>
      </c>
      <c r="G40" s="334">
        <v>930</v>
      </c>
      <c r="H40" s="334">
        <v>930</v>
      </c>
      <c r="I40" s="334">
        <v>930</v>
      </c>
      <c r="K40" s="348"/>
      <c r="M40" s="326"/>
    </row>
    <row r="41" spans="1:13" ht="15.75" x14ac:dyDescent="0.25">
      <c r="A41" s="332" t="s">
        <v>608</v>
      </c>
      <c r="B41" s="333" t="s">
        <v>123</v>
      </c>
      <c r="C41" s="334" t="s">
        <v>124</v>
      </c>
      <c r="D41" s="335" t="s">
        <v>354</v>
      </c>
      <c r="E41" s="323"/>
      <c r="G41" s="334">
        <v>823</v>
      </c>
      <c r="H41" s="334">
        <v>823</v>
      </c>
      <c r="I41" s="334">
        <v>823</v>
      </c>
      <c r="K41" s="348"/>
      <c r="M41" s="326"/>
    </row>
    <row r="42" spans="1:13" ht="14.1" customHeight="1" x14ac:dyDescent="0.25">
      <c r="A42" s="332" t="s">
        <v>609</v>
      </c>
      <c r="B42" s="334" t="s">
        <v>401</v>
      </c>
      <c r="C42" s="334" t="s">
        <v>402</v>
      </c>
      <c r="D42" s="323" t="s">
        <v>354</v>
      </c>
      <c r="E42" s="334">
        <v>16</v>
      </c>
      <c r="F42" s="334">
        <v>16</v>
      </c>
      <c r="G42" s="334">
        <v>16</v>
      </c>
      <c r="H42" s="334">
        <v>16</v>
      </c>
      <c r="I42" s="334">
        <v>16</v>
      </c>
    </row>
    <row r="43" spans="1:13" s="327" customFormat="1" ht="30" x14ac:dyDescent="0.25">
      <c r="A43" s="332" t="s">
        <v>664</v>
      </c>
      <c r="B43" s="340" t="s">
        <v>403</v>
      </c>
      <c r="C43" s="349" t="s">
        <v>404</v>
      </c>
      <c r="D43" s="342" t="s">
        <v>354</v>
      </c>
      <c r="E43" s="350">
        <v>40</v>
      </c>
      <c r="F43" s="350">
        <v>40</v>
      </c>
      <c r="G43" s="350">
        <v>40</v>
      </c>
      <c r="H43" s="350">
        <v>40</v>
      </c>
      <c r="I43" s="344">
        <v>40</v>
      </c>
      <c r="J43" s="351"/>
      <c r="K43" s="352"/>
      <c r="M43" s="328"/>
    </row>
    <row r="44" spans="1:13" s="327" customFormat="1" ht="18" customHeight="1" x14ac:dyDescent="0.25">
      <c r="A44" s="332" t="s">
        <v>665</v>
      </c>
      <c r="B44" s="340" t="s">
        <v>405</v>
      </c>
      <c r="C44" s="349" t="s">
        <v>406</v>
      </c>
      <c r="D44" s="342" t="s">
        <v>354</v>
      </c>
      <c r="E44" s="350">
        <v>994</v>
      </c>
      <c r="F44" s="350">
        <v>994</v>
      </c>
      <c r="G44" s="350">
        <v>994</v>
      </c>
      <c r="H44" s="344">
        <v>994</v>
      </c>
      <c r="I44" s="344">
        <v>994</v>
      </c>
      <c r="J44" s="351"/>
      <c r="K44" s="352"/>
      <c r="M44" s="328"/>
    </row>
    <row r="45" spans="1:13" s="327" customFormat="1" ht="15.75" x14ac:dyDescent="0.25">
      <c r="A45" s="332" t="s">
        <v>666</v>
      </c>
      <c r="B45" s="340" t="s">
        <v>407</v>
      </c>
      <c r="C45" s="349" t="s">
        <v>408</v>
      </c>
      <c r="D45" s="342" t="s">
        <v>354</v>
      </c>
      <c r="E45" s="350">
        <v>176</v>
      </c>
      <c r="F45" s="350">
        <v>176</v>
      </c>
      <c r="G45" s="350">
        <v>176</v>
      </c>
      <c r="H45" s="344">
        <v>176</v>
      </c>
      <c r="I45" s="344">
        <v>176</v>
      </c>
      <c r="J45" s="351"/>
      <c r="K45" s="352"/>
      <c r="M45" s="328"/>
    </row>
    <row r="46" spans="1:13" ht="13.5" customHeight="1" x14ac:dyDescent="0.25">
      <c r="A46" s="332" t="s">
        <v>667</v>
      </c>
      <c r="B46" s="336" t="s">
        <v>409</v>
      </c>
      <c r="C46" s="337" t="s">
        <v>410</v>
      </c>
      <c r="D46" s="338" t="s">
        <v>354</v>
      </c>
      <c r="E46" s="339">
        <v>199</v>
      </c>
      <c r="F46" s="339">
        <v>199</v>
      </c>
      <c r="G46" s="332">
        <v>199</v>
      </c>
      <c r="H46" s="339">
        <v>199</v>
      </c>
      <c r="I46" s="334">
        <v>199</v>
      </c>
    </row>
    <row r="47" spans="1:13" ht="13.5" customHeight="1" x14ac:dyDescent="0.25">
      <c r="A47" s="332" t="s">
        <v>125</v>
      </c>
      <c r="B47" s="336" t="s">
        <v>411</v>
      </c>
      <c r="C47" s="337" t="s">
        <v>412</v>
      </c>
      <c r="D47" s="338" t="s">
        <v>354</v>
      </c>
      <c r="E47" s="339">
        <v>1863</v>
      </c>
      <c r="F47" s="339">
        <v>1863</v>
      </c>
      <c r="G47" s="339">
        <v>1863</v>
      </c>
      <c r="H47" s="339">
        <v>1863</v>
      </c>
      <c r="I47" s="334">
        <v>1900</v>
      </c>
    </row>
    <row r="48" spans="1:13" ht="13.5" customHeight="1" x14ac:dyDescent="0.25">
      <c r="A48" s="332" t="s">
        <v>693</v>
      </c>
      <c r="B48" s="336" t="s">
        <v>126</v>
      </c>
      <c r="C48" s="337" t="s">
        <v>127</v>
      </c>
      <c r="D48" s="338" t="s">
        <v>354</v>
      </c>
      <c r="E48" s="339"/>
      <c r="F48" s="339"/>
      <c r="G48" s="339">
        <v>29600</v>
      </c>
      <c r="H48" s="339">
        <v>29600</v>
      </c>
      <c r="I48" s="334">
        <v>29600</v>
      </c>
    </row>
    <row r="49" spans="1:13" s="327" customFormat="1" ht="15.75" x14ac:dyDescent="0.25">
      <c r="A49" s="332" t="s">
        <v>694</v>
      </c>
      <c r="B49" s="340" t="s">
        <v>413</v>
      </c>
      <c r="C49" s="341" t="s">
        <v>414</v>
      </c>
      <c r="D49" s="342" t="s">
        <v>354</v>
      </c>
      <c r="E49" s="343">
        <v>3600</v>
      </c>
      <c r="F49" s="343">
        <v>3600</v>
      </c>
      <c r="G49" s="343">
        <v>3600</v>
      </c>
      <c r="H49" s="343">
        <v>6553</v>
      </c>
      <c r="I49" s="344">
        <v>6553</v>
      </c>
      <c r="J49" s="351"/>
      <c r="K49" s="352"/>
      <c r="M49" s="328"/>
    </row>
    <row r="50" spans="1:13" s="327" customFormat="1" ht="15.75" x14ac:dyDescent="0.25">
      <c r="A50" s="332" t="s">
        <v>128</v>
      </c>
      <c r="B50" s="340" t="s">
        <v>415</v>
      </c>
      <c r="C50" s="341" t="s">
        <v>416</v>
      </c>
      <c r="D50" s="342" t="s">
        <v>354</v>
      </c>
      <c r="E50" s="343">
        <v>123</v>
      </c>
      <c r="F50" s="343">
        <v>123</v>
      </c>
      <c r="G50" s="343">
        <v>123</v>
      </c>
      <c r="H50" s="343">
        <v>123</v>
      </c>
      <c r="I50" s="344">
        <v>123</v>
      </c>
      <c r="J50" s="351"/>
      <c r="K50" s="352"/>
      <c r="M50" s="328"/>
    </row>
    <row r="51" spans="1:13" ht="14.1" customHeight="1" x14ac:dyDescent="0.25">
      <c r="A51" s="332" t="s">
        <v>129</v>
      </c>
      <c r="B51" s="334" t="s">
        <v>417</v>
      </c>
      <c r="C51" s="334" t="s">
        <v>418</v>
      </c>
      <c r="D51" s="323" t="s">
        <v>354</v>
      </c>
      <c r="E51" s="334">
        <v>225</v>
      </c>
      <c r="F51" s="334">
        <v>225</v>
      </c>
      <c r="G51" s="334">
        <v>225</v>
      </c>
      <c r="H51" s="334">
        <v>241</v>
      </c>
      <c r="I51" s="334">
        <v>241</v>
      </c>
    </row>
    <row r="52" spans="1:13" ht="14.1" customHeight="1" x14ac:dyDescent="0.25">
      <c r="A52" s="332" t="s">
        <v>130</v>
      </c>
      <c r="B52" s="334" t="s">
        <v>131</v>
      </c>
      <c r="C52" s="334" t="s">
        <v>132</v>
      </c>
      <c r="D52" s="323" t="s">
        <v>455</v>
      </c>
      <c r="G52" s="334">
        <v>600</v>
      </c>
      <c r="H52" s="334">
        <v>1200</v>
      </c>
      <c r="I52" s="334">
        <v>1200</v>
      </c>
    </row>
    <row r="53" spans="1:13" ht="14.1" customHeight="1" x14ac:dyDescent="0.25">
      <c r="A53" s="332" t="s">
        <v>133</v>
      </c>
      <c r="B53" s="334" t="s">
        <v>134</v>
      </c>
      <c r="C53" s="334" t="s">
        <v>135</v>
      </c>
      <c r="D53" s="323" t="s">
        <v>354</v>
      </c>
      <c r="H53" s="334">
        <v>243</v>
      </c>
      <c r="I53" s="334">
        <v>243</v>
      </c>
    </row>
    <row r="54" spans="1:13" ht="14.1" customHeight="1" x14ac:dyDescent="0.25">
      <c r="A54" s="332" t="s">
        <v>136</v>
      </c>
      <c r="B54" s="334" t="s">
        <v>419</v>
      </c>
      <c r="C54" s="334" t="s">
        <v>420</v>
      </c>
      <c r="D54" s="323" t="s">
        <v>354</v>
      </c>
      <c r="E54" s="334">
        <v>26</v>
      </c>
      <c r="F54" s="334">
        <v>26</v>
      </c>
      <c r="G54" s="334">
        <v>26</v>
      </c>
      <c r="H54" s="334">
        <v>26</v>
      </c>
      <c r="I54" s="334">
        <v>26</v>
      </c>
    </row>
    <row r="55" spans="1:13" s="327" customFormat="1" ht="15.75" x14ac:dyDescent="0.25">
      <c r="A55" s="332" t="s">
        <v>137</v>
      </c>
      <c r="B55" s="340" t="s">
        <v>421</v>
      </c>
      <c r="C55" s="341" t="s">
        <v>422</v>
      </c>
      <c r="D55" s="342" t="s">
        <v>354</v>
      </c>
      <c r="E55" s="343">
        <v>5</v>
      </c>
      <c r="F55" s="343">
        <v>5</v>
      </c>
      <c r="G55" s="343">
        <v>5</v>
      </c>
      <c r="H55" s="344">
        <v>5</v>
      </c>
      <c r="I55" s="344">
        <v>5</v>
      </c>
      <c r="J55" s="351"/>
      <c r="K55" s="352"/>
      <c r="M55" s="328"/>
    </row>
    <row r="56" spans="1:13" s="329" customFormat="1" ht="13.5" customHeight="1" x14ac:dyDescent="0.25">
      <c r="A56" s="332" t="s">
        <v>138</v>
      </c>
      <c r="B56" s="340" t="s">
        <v>423</v>
      </c>
      <c r="C56" s="341" t="s">
        <v>424</v>
      </c>
      <c r="D56" s="342" t="s">
        <v>354</v>
      </c>
      <c r="E56" s="343">
        <v>250</v>
      </c>
      <c r="F56" s="343">
        <v>250</v>
      </c>
      <c r="G56" s="343">
        <v>250</v>
      </c>
      <c r="H56" s="343">
        <v>250</v>
      </c>
      <c r="I56" s="344">
        <v>250</v>
      </c>
      <c r="J56" s="345"/>
      <c r="K56" s="346"/>
      <c r="M56" s="330"/>
    </row>
    <row r="57" spans="1:13" s="329" customFormat="1" ht="13.5" customHeight="1" x14ac:dyDescent="0.25">
      <c r="A57" s="332" t="s">
        <v>139</v>
      </c>
      <c r="B57" s="340" t="s">
        <v>140</v>
      </c>
      <c r="C57" s="341" t="s">
        <v>141</v>
      </c>
      <c r="D57" s="342" t="s">
        <v>455</v>
      </c>
      <c r="E57" s="343"/>
      <c r="F57" s="343"/>
      <c r="G57" s="343">
        <v>2439</v>
      </c>
      <c r="H57" s="343">
        <v>3658</v>
      </c>
      <c r="I57" s="344">
        <v>3658</v>
      </c>
      <c r="J57" s="345"/>
      <c r="K57" s="346"/>
      <c r="M57" s="330"/>
    </row>
    <row r="58" spans="1:13" s="329" customFormat="1" ht="13.5" customHeight="1" x14ac:dyDescent="0.25">
      <c r="A58" s="332" t="s">
        <v>142</v>
      </c>
      <c r="B58" s="340" t="s">
        <v>143</v>
      </c>
      <c r="C58" s="341" t="s">
        <v>144</v>
      </c>
      <c r="D58" s="342" t="s">
        <v>455</v>
      </c>
      <c r="E58" s="343"/>
      <c r="F58" s="343"/>
      <c r="G58" s="343">
        <v>2438</v>
      </c>
      <c r="H58" s="343">
        <v>2438</v>
      </c>
      <c r="I58" s="344">
        <v>2438</v>
      </c>
      <c r="J58" s="345"/>
      <c r="K58" s="346"/>
      <c r="M58" s="330"/>
    </row>
    <row r="59" spans="1:13" s="329" customFormat="1" ht="13.5" customHeight="1" x14ac:dyDescent="0.25">
      <c r="A59" s="332" t="s">
        <v>145</v>
      </c>
      <c r="B59" s="340" t="s">
        <v>146</v>
      </c>
      <c r="C59" s="341" t="s">
        <v>147</v>
      </c>
      <c r="D59" s="342" t="s">
        <v>354</v>
      </c>
      <c r="E59" s="343"/>
      <c r="F59" s="343"/>
      <c r="G59" s="343">
        <v>610</v>
      </c>
      <c r="H59" s="343">
        <v>610</v>
      </c>
      <c r="I59" s="344">
        <v>610</v>
      </c>
      <c r="J59" s="345"/>
      <c r="K59" s="346"/>
      <c r="M59" s="330"/>
    </row>
    <row r="60" spans="1:13" s="329" customFormat="1" ht="13.5" customHeight="1" x14ac:dyDescent="0.25">
      <c r="A60" s="332" t="s">
        <v>148</v>
      </c>
      <c r="B60" s="340" t="s">
        <v>425</v>
      </c>
      <c r="C60" s="341" t="s">
        <v>426</v>
      </c>
      <c r="D60" s="342">
        <v>43496</v>
      </c>
      <c r="E60" s="343">
        <v>2865</v>
      </c>
      <c r="F60" s="343">
        <v>2865</v>
      </c>
      <c r="G60" s="343">
        <v>2865</v>
      </c>
      <c r="H60" s="343">
        <v>2865</v>
      </c>
      <c r="I60" s="344">
        <v>2865</v>
      </c>
      <c r="J60" s="345"/>
      <c r="K60" s="346"/>
      <c r="M60" s="330"/>
    </row>
    <row r="61" spans="1:13" s="329" customFormat="1" ht="13.5" customHeight="1" x14ac:dyDescent="0.25">
      <c r="A61" s="332" t="s">
        <v>149</v>
      </c>
      <c r="B61" s="340" t="s">
        <v>150</v>
      </c>
      <c r="C61" s="341" t="s">
        <v>151</v>
      </c>
      <c r="D61" s="342"/>
      <c r="E61" s="343">
        <v>175</v>
      </c>
      <c r="F61" s="343">
        <v>175</v>
      </c>
      <c r="G61" s="343">
        <v>175</v>
      </c>
      <c r="H61" s="343">
        <v>175</v>
      </c>
      <c r="I61" s="344">
        <v>175</v>
      </c>
      <c r="J61" s="345"/>
      <c r="K61" s="346"/>
      <c r="M61" s="330"/>
    </row>
    <row r="62" spans="1:13" s="329" customFormat="1" ht="13.5" customHeight="1" x14ac:dyDescent="0.25">
      <c r="A62" s="332" t="s">
        <v>152</v>
      </c>
      <c r="B62" s="340" t="s">
        <v>427</v>
      </c>
      <c r="C62" s="341" t="s">
        <v>428</v>
      </c>
      <c r="D62" s="342" t="s">
        <v>354</v>
      </c>
      <c r="E62" s="343">
        <v>217</v>
      </c>
      <c r="F62" s="343">
        <v>217</v>
      </c>
      <c r="G62" s="343">
        <v>217</v>
      </c>
      <c r="H62" s="343">
        <v>217</v>
      </c>
      <c r="I62" s="344">
        <v>217</v>
      </c>
      <c r="J62" s="345"/>
      <c r="K62" s="346"/>
      <c r="M62" s="330"/>
    </row>
    <row r="63" spans="1:13" s="329" customFormat="1" ht="13.5" customHeight="1" x14ac:dyDescent="0.25">
      <c r="A63" s="332" t="s">
        <v>153</v>
      </c>
      <c r="B63" s="333" t="s">
        <v>429</v>
      </c>
      <c r="C63" s="353" t="s">
        <v>430</v>
      </c>
      <c r="D63" s="342" t="s">
        <v>354</v>
      </c>
      <c r="E63" s="362">
        <v>15</v>
      </c>
      <c r="F63" s="362">
        <v>15</v>
      </c>
      <c r="G63" s="343">
        <v>15</v>
      </c>
      <c r="H63" s="343">
        <v>15</v>
      </c>
      <c r="I63" s="344">
        <v>15</v>
      </c>
      <c r="J63" s="345"/>
      <c r="K63" s="346"/>
      <c r="M63" s="330"/>
    </row>
    <row r="64" spans="1:13" s="329" customFormat="1" ht="13.5" customHeight="1" x14ac:dyDescent="0.25">
      <c r="A64" s="332" t="s">
        <v>154</v>
      </c>
      <c r="B64" s="333" t="s">
        <v>429</v>
      </c>
      <c r="C64" s="353" t="s">
        <v>431</v>
      </c>
      <c r="D64" s="342" t="s">
        <v>354</v>
      </c>
      <c r="E64" s="362">
        <v>150</v>
      </c>
      <c r="F64" s="362">
        <v>150</v>
      </c>
      <c r="G64" s="343">
        <v>150</v>
      </c>
      <c r="H64" s="343">
        <v>226</v>
      </c>
      <c r="I64" s="344">
        <v>226</v>
      </c>
      <c r="J64" s="345"/>
      <c r="K64" s="346"/>
      <c r="M64" s="330"/>
    </row>
    <row r="65" spans="1:13" s="329" customFormat="1" ht="13.5" customHeight="1" x14ac:dyDescent="0.25">
      <c r="A65" s="332" t="s">
        <v>155</v>
      </c>
      <c r="B65" s="333" t="s">
        <v>432</v>
      </c>
      <c r="C65" s="353" t="s">
        <v>433</v>
      </c>
      <c r="D65" s="342" t="s">
        <v>354</v>
      </c>
      <c r="E65" s="362">
        <v>75</v>
      </c>
      <c r="F65" s="362">
        <v>75</v>
      </c>
      <c r="G65" s="343">
        <v>75</v>
      </c>
      <c r="H65" s="343">
        <v>45</v>
      </c>
      <c r="I65" s="344">
        <v>45</v>
      </c>
      <c r="J65" s="345"/>
      <c r="K65" s="346"/>
      <c r="M65" s="330"/>
    </row>
    <row r="66" spans="1:13" s="329" customFormat="1" ht="13.5" customHeight="1" x14ac:dyDescent="0.25">
      <c r="A66" s="332" t="s">
        <v>156</v>
      </c>
      <c r="B66" s="340"/>
      <c r="C66" s="341" t="s">
        <v>157</v>
      </c>
      <c r="D66" s="342" t="s">
        <v>455</v>
      </c>
      <c r="E66" s="343"/>
      <c r="F66" s="343"/>
      <c r="G66" s="343">
        <v>347</v>
      </c>
      <c r="H66" s="343">
        <v>347</v>
      </c>
      <c r="I66" s="344">
        <v>347</v>
      </c>
      <c r="J66" s="345"/>
      <c r="K66" s="346"/>
      <c r="M66" s="330"/>
    </row>
    <row r="67" spans="1:13" s="329" customFormat="1" ht="13.5" customHeight="1" x14ac:dyDescent="0.25">
      <c r="A67" s="332" t="s">
        <v>158</v>
      </c>
      <c r="B67" s="340" t="s">
        <v>159</v>
      </c>
      <c r="C67" s="341" t="s">
        <v>160</v>
      </c>
      <c r="D67" s="342" t="s">
        <v>455</v>
      </c>
      <c r="E67" s="343"/>
      <c r="F67" s="343"/>
      <c r="G67" s="343">
        <v>54</v>
      </c>
      <c r="H67" s="343">
        <v>216</v>
      </c>
      <c r="I67" s="344">
        <v>216</v>
      </c>
      <c r="J67" s="345"/>
      <c r="K67" s="346"/>
      <c r="M67" s="330"/>
    </row>
    <row r="68" spans="1:13" s="329" customFormat="1" ht="13.5" customHeight="1" x14ac:dyDescent="0.25">
      <c r="A68" s="332" t="s">
        <v>161</v>
      </c>
      <c r="B68" s="340"/>
      <c r="C68" s="341" t="s">
        <v>162</v>
      </c>
      <c r="D68" s="342" t="s">
        <v>455</v>
      </c>
      <c r="E68" s="343"/>
      <c r="F68" s="343"/>
      <c r="G68" s="343">
        <v>380</v>
      </c>
      <c r="H68" s="343">
        <v>380</v>
      </c>
      <c r="I68" s="344">
        <v>380</v>
      </c>
      <c r="J68" s="345"/>
      <c r="K68" s="346"/>
      <c r="M68" s="330"/>
    </row>
    <row r="69" spans="1:13" s="329" customFormat="1" ht="13.5" customHeight="1" x14ac:dyDescent="0.25">
      <c r="A69" s="332" t="s">
        <v>163</v>
      </c>
      <c r="B69" s="340" t="s">
        <v>434</v>
      </c>
      <c r="C69" s="341" t="s">
        <v>435</v>
      </c>
      <c r="D69" s="342" t="s">
        <v>354</v>
      </c>
      <c r="E69" s="343">
        <v>1800</v>
      </c>
      <c r="F69" s="343">
        <v>1800</v>
      </c>
      <c r="G69" s="343">
        <v>1800</v>
      </c>
      <c r="H69" s="343">
        <v>1500</v>
      </c>
      <c r="I69" s="344">
        <v>1500</v>
      </c>
      <c r="J69" s="345"/>
      <c r="K69" s="346"/>
      <c r="M69" s="330"/>
    </row>
    <row r="70" spans="1:13" s="329" customFormat="1" ht="13.5" customHeight="1" x14ac:dyDescent="0.25">
      <c r="A70" s="332" t="s">
        <v>164</v>
      </c>
      <c r="B70" s="340" t="s">
        <v>436</v>
      </c>
      <c r="C70" s="341" t="s">
        <v>437</v>
      </c>
      <c r="D70" s="342" t="s">
        <v>354</v>
      </c>
      <c r="E70" s="343">
        <v>1875</v>
      </c>
      <c r="F70" s="343">
        <v>2000</v>
      </c>
      <c r="G70" s="343">
        <v>2000</v>
      </c>
      <c r="H70" s="343">
        <v>1700</v>
      </c>
      <c r="I70" s="344">
        <v>1700</v>
      </c>
      <c r="J70" s="345"/>
      <c r="K70" s="346"/>
      <c r="M70" s="330"/>
    </row>
    <row r="71" spans="1:13" ht="13.5" customHeight="1" x14ac:dyDescent="0.25">
      <c r="A71" s="332" t="s">
        <v>165</v>
      </c>
      <c r="B71" s="1552" t="s">
        <v>438</v>
      </c>
      <c r="C71" s="1552"/>
      <c r="E71" s="372">
        <f>SUM(E12:E70)</f>
        <v>127862</v>
      </c>
      <c r="F71" s="372">
        <f>SUM(F12:F70)</f>
        <v>115727</v>
      </c>
      <c r="G71" s="372">
        <f>SUM(G12:G70)</f>
        <v>108085</v>
      </c>
      <c r="H71" s="372">
        <f>SUM(H12:H70)</f>
        <v>165363</v>
      </c>
      <c r="I71" s="372">
        <f>SUM(I12:I70)</f>
        <v>164803</v>
      </c>
    </row>
    <row r="72" spans="1:13" ht="9.75" customHeight="1" x14ac:dyDescent="0.25">
      <c r="A72" s="332"/>
      <c r="B72" s="320"/>
      <c r="C72" s="333"/>
      <c r="E72" s="331"/>
      <c r="F72" s="331"/>
      <c r="G72" s="331"/>
      <c r="H72" s="331"/>
    </row>
    <row r="73" spans="1:13" ht="6.75" customHeight="1" x14ac:dyDescent="0.25">
      <c r="E73" s="331"/>
      <c r="F73" s="331"/>
      <c r="G73" s="331"/>
      <c r="H73" s="331"/>
    </row>
    <row r="74" spans="1:13" ht="13.5" customHeight="1" x14ac:dyDescent="0.25">
      <c r="E74" s="331"/>
      <c r="F74" s="331"/>
      <c r="G74" s="331"/>
      <c r="H74" s="33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A47"/>
  <sheetViews>
    <sheetView topLeftCell="L1" zoomScale="120" workbookViewId="0">
      <selection activeCell="U14" sqref="U14"/>
    </sheetView>
  </sheetViews>
  <sheetFormatPr defaultColWidth="9.140625" defaultRowHeight="11.25" x14ac:dyDescent="0.2"/>
  <cols>
    <col min="1" max="1" width="4.85546875" style="127" customWidth="1"/>
    <col min="2" max="2" width="42.85546875" style="127" customWidth="1"/>
    <col min="3" max="3" width="11" style="128" customWidth="1"/>
    <col min="4" max="4" width="11.42578125" style="128" customWidth="1"/>
    <col min="5" max="10" width="12" style="128" customWidth="1"/>
    <col min="11" max="11" width="37" style="128" customWidth="1"/>
    <col min="12" max="12" width="11.140625" style="128" customWidth="1"/>
    <col min="13" max="13" width="12.85546875" style="128" customWidth="1"/>
    <col min="14" max="14" width="16" style="128" customWidth="1"/>
    <col min="15" max="27" width="9.140625" style="127"/>
    <col min="28" max="16384" width="9.140625" style="8"/>
  </cols>
  <sheetData>
    <row r="1" spans="1:27" ht="12.75" customHeight="1" x14ac:dyDescent="0.2">
      <c r="A1" s="1301" t="s">
        <v>1228</v>
      </c>
      <c r="B1" s="1301"/>
      <c r="C1" s="1301"/>
      <c r="D1" s="1301"/>
      <c r="E1" s="1301"/>
      <c r="F1" s="1301"/>
      <c r="G1" s="1301"/>
      <c r="H1" s="1301"/>
      <c r="I1" s="1301"/>
      <c r="J1" s="1301"/>
      <c r="K1" s="1301"/>
      <c r="L1" s="1301"/>
      <c r="M1" s="1301"/>
      <c r="N1" s="1301"/>
    </row>
    <row r="2" spans="1:27" x14ac:dyDescent="0.2">
      <c r="B2" s="463"/>
      <c r="N2" s="129"/>
    </row>
    <row r="3" spans="1:27" s="100" customFormat="1" x14ac:dyDescent="0.2">
      <c r="A3" s="130"/>
      <c r="B3" s="1308" t="s">
        <v>54</v>
      </c>
      <c r="C3" s="1308"/>
      <c r="D3" s="1308"/>
      <c r="E3" s="1308"/>
      <c r="F3" s="1308"/>
      <c r="G3" s="1308"/>
      <c r="H3" s="1308"/>
      <c r="I3" s="1308"/>
      <c r="J3" s="1308"/>
      <c r="K3" s="1308"/>
      <c r="L3" s="1308"/>
      <c r="M3" s="1308"/>
      <c r="N3" s="1308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</row>
    <row r="4" spans="1:27" s="100" customFormat="1" x14ac:dyDescent="0.2">
      <c r="A4" s="130"/>
      <c r="B4" s="1308" t="s">
        <v>1126</v>
      </c>
      <c r="C4" s="1308"/>
      <c r="D4" s="1308"/>
      <c r="E4" s="1308"/>
      <c r="F4" s="1308"/>
      <c r="G4" s="1308"/>
      <c r="H4" s="1308"/>
      <c r="I4" s="1308"/>
      <c r="J4" s="1308"/>
      <c r="K4" s="1308"/>
      <c r="L4" s="1308"/>
      <c r="M4" s="1308"/>
      <c r="N4" s="1308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</row>
    <row r="5" spans="1:27" s="100" customFormat="1" ht="12.75" customHeight="1" x14ac:dyDescent="0.2">
      <c r="A5" s="1322" t="s">
        <v>325</v>
      </c>
      <c r="B5" s="1322"/>
      <c r="C5" s="1322"/>
      <c r="D5" s="1322"/>
      <c r="E5" s="1322"/>
      <c r="F5" s="1322"/>
      <c r="G5" s="1322"/>
      <c r="H5" s="1322"/>
      <c r="I5" s="1322"/>
      <c r="J5" s="1322"/>
      <c r="K5" s="1322"/>
      <c r="L5" s="1322"/>
      <c r="M5" s="1322"/>
      <c r="N5" s="1322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</row>
    <row r="6" spans="1:27" s="100" customFormat="1" ht="12.75" customHeight="1" x14ac:dyDescent="0.2">
      <c r="A6" s="1305" t="s">
        <v>56</v>
      </c>
      <c r="B6" s="1306" t="s">
        <v>57</v>
      </c>
      <c r="C6" s="1306" t="s">
        <v>58</v>
      </c>
      <c r="D6" s="1306"/>
      <c r="E6" s="1306"/>
      <c r="F6" s="1168"/>
      <c r="G6" s="1168"/>
      <c r="H6" s="1168"/>
      <c r="I6" s="1168"/>
      <c r="J6" s="1168"/>
      <c r="K6" s="1161" t="s">
        <v>59</v>
      </c>
      <c r="L6" s="1321" t="s">
        <v>60</v>
      </c>
      <c r="M6" s="1321"/>
      <c r="N6" s="1321"/>
      <c r="O6" s="1168"/>
      <c r="P6" s="1168"/>
      <c r="Q6" s="1168"/>
      <c r="R6" s="1168"/>
      <c r="S6" s="1168"/>
      <c r="T6" s="130"/>
      <c r="U6" s="130"/>
    </row>
    <row r="7" spans="1:27" s="100" customFormat="1" ht="12.75" customHeight="1" x14ac:dyDescent="0.2">
      <c r="A7" s="1305"/>
      <c r="B7" s="1306"/>
      <c r="C7" s="1303" t="s">
        <v>1125</v>
      </c>
      <c r="D7" s="1303"/>
      <c r="E7" s="1303"/>
      <c r="F7" s="1303" t="s">
        <v>1246</v>
      </c>
      <c r="G7" s="1303"/>
      <c r="H7" s="1303" t="s">
        <v>1246</v>
      </c>
      <c r="I7" s="1303"/>
      <c r="J7" s="1303"/>
      <c r="K7" s="1169"/>
      <c r="L7" s="1303" t="s">
        <v>1125</v>
      </c>
      <c r="M7" s="1303"/>
      <c r="N7" s="1303"/>
      <c r="O7" s="1303" t="s">
        <v>1246</v>
      </c>
      <c r="P7" s="1303"/>
      <c r="Q7" s="1303" t="s">
        <v>1246</v>
      </c>
      <c r="R7" s="1303"/>
      <c r="S7" s="1303"/>
    </row>
    <row r="8" spans="1:27" s="101" customFormat="1" ht="36.6" customHeight="1" x14ac:dyDescent="0.2">
      <c r="A8" s="1305"/>
      <c r="B8" s="1161" t="s">
        <v>61</v>
      </c>
      <c r="C8" s="753" t="s">
        <v>62</v>
      </c>
      <c r="D8" s="753" t="s">
        <v>63</v>
      </c>
      <c r="E8" s="753" t="s">
        <v>64</v>
      </c>
      <c r="F8" s="753" t="s">
        <v>62</v>
      </c>
      <c r="G8" s="753" t="s">
        <v>63</v>
      </c>
      <c r="H8" s="753" t="s">
        <v>62</v>
      </c>
      <c r="I8" s="753" t="s">
        <v>63</v>
      </c>
      <c r="J8" s="753" t="s">
        <v>64</v>
      </c>
      <c r="K8" s="752" t="s">
        <v>65</v>
      </c>
      <c r="L8" s="753" t="s">
        <v>62</v>
      </c>
      <c r="M8" s="753" t="s">
        <v>63</v>
      </c>
      <c r="N8" s="753" t="s">
        <v>64</v>
      </c>
      <c r="O8" s="753" t="s">
        <v>62</v>
      </c>
      <c r="P8" s="753" t="s">
        <v>63</v>
      </c>
      <c r="Q8" s="753" t="s">
        <v>62</v>
      </c>
      <c r="R8" s="753" t="s">
        <v>63</v>
      </c>
      <c r="S8" s="753" t="s">
        <v>64</v>
      </c>
    </row>
    <row r="9" spans="1:27" ht="11.45" customHeight="1" x14ac:dyDescent="0.2">
      <c r="A9" s="1033">
        <v>1</v>
      </c>
      <c r="B9" s="1034" t="s">
        <v>24</v>
      </c>
      <c r="C9" s="1035"/>
      <c r="D9" s="1035"/>
      <c r="E9" s="1035"/>
      <c r="F9" s="1035"/>
      <c r="G9" s="1035"/>
      <c r="H9" s="1035"/>
      <c r="I9" s="1035"/>
      <c r="J9" s="1035"/>
      <c r="K9" s="1036" t="s">
        <v>25</v>
      </c>
      <c r="L9" s="1035"/>
      <c r="M9" s="1035"/>
      <c r="N9" s="1037"/>
      <c r="O9" s="1043"/>
      <c r="P9" s="1043"/>
      <c r="Q9" s="1043"/>
      <c r="R9" s="1043"/>
      <c r="S9" s="1038"/>
      <c r="T9" s="8"/>
      <c r="U9" s="8"/>
      <c r="V9" s="8"/>
      <c r="W9" s="8"/>
      <c r="X9" s="8"/>
      <c r="Y9" s="8"/>
      <c r="Z9" s="8"/>
      <c r="AA9" s="8"/>
    </row>
    <row r="10" spans="1:27" x14ac:dyDescent="0.2">
      <c r="A10" s="1033">
        <f t="shared" ref="A10:A42" si="0">A9+1</f>
        <v>2</v>
      </c>
      <c r="B10" s="1039"/>
      <c r="C10" s="1059"/>
      <c r="D10" s="1059"/>
      <c r="E10" s="1059"/>
      <c r="F10" s="1059"/>
      <c r="G10" s="1059"/>
      <c r="H10" s="1059"/>
      <c r="I10" s="1059"/>
      <c r="J10" s="1059"/>
      <c r="K10" s="1059"/>
      <c r="L10" s="1059"/>
      <c r="M10" s="1059"/>
      <c r="N10" s="1155"/>
      <c r="O10" s="1043"/>
      <c r="P10" s="1043"/>
      <c r="Q10" s="1043"/>
      <c r="R10" s="1043"/>
      <c r="S10" s="1038"/>
      <c r="T10" s="8"/>
      <c r="U10" s="8"/>
      <c r="V10" s="8"/>
      <c r="W10" s="8"/>
      <c r="X10" s="8"/>
      <c r="Y10" s="8"/>
      <c r="Z10" s="8"/>
      <c r="AA10" s="8"/>
    </row>
    <row r="11" spans="1:27" x14ac:dyDescent="0.2">
      <c r="A11" s="1033">
        <f t="shared" si="0"/>
        <v>3</v>
      </c>
      <c r="B11" s="1039" t="s">
        <v>38</v>
      </c>
      <c r="C11" s="1059">
        <f>Össz.önkor.mérleg.!C14</f>
        <v>0</v>
      </c>
      <c r="D11" s="1059">
        <f>Össz.önkor.mérleg.!D14</f>
        <v>0</v>
      </c>
      <c r="E11" s="1059">
        <f>Össz.önkor.mérleg.!E14</f>
        <v>0</v>
      </c>
      <c r="F11" s="1059"/>
      <c r="G11" s="1059"/>
      <c r="H11" s="1059"/>
      <c r="I11" s="1059"/>
      <c r="J11" s="1059"/>
      <c r="K11" s="1036" t="s">
        <v>34</v>
      </c>
      <c r="L11" s="1035"/>
      <c r="M11" s="1035"/>
      <c r="N11" s="1037"/>
      <c r="O11" s="1043"/>
      <c r="P11" s="1043"/>
      <c r="Q11" s="1043"/>
      <c r="R11" s="1043"/>
      <c r="S11" s="1038"/>
      <c r="T11" s="8"/>
      <c r="U11" s="8"/>
      <c r="V11" s="8"/>
      <c r="W11" s="8"/>
      <c r="X11" s="8"/>
      <c r="Y11" s="8"/>
      <c r="Z11" s="8"/>
      <c r="AA11" s="8"/>
    </row>
    <row r="12" spans="1:27" x14ac:dyDescent="0.2">
      <c r="A12" s="1033">
        <f t="shared" si="0"/>
        <v>4</v>
      </c>
      <c r="B12" s="1043" t="s">
        <v>674</v>
      </c>
      <c r="C12" s="1059"/>
      <c r="D12" s="1155"/>
      <c r="E12" s="1155"/>
      <c r="F12" s="1155"/>
      <c r="G12" s="1155"/>
      <c r="H12" s="1155"/>
      <c r="I12" s="1155"/>
      <c r="J12" s="1155"/>
      <c r="K12" s="1059" t="s">
        <v>668</v>
      </c>
      <c r="L12" s="1037">
        <f>Össz.önkor.mérleg.!L26</f>
        <v>2030710</v>
      </c>
      <c r="M12" s="1037">
        <f>Össz.önkor.mérleg.!M26</f>
        <v>50606</v>
      </c>
      <c r="N12" s="1037">
        <f>Össz.önkor.mérleg.!N26</f>
        <v>2081316</v>
      </c>
      <c r="O12" s="1043"/>
      <c r="P12" s="1043"/>
      <c r="Q12" s="1043"/>
      <c r="R12" s="1043"/>
      <c r="S12" s="1038"/>
      <c r="T12" s="8"/>
      <c r="U12" s="8"/>
      <c r="V12" s="8"/>
      <c r="W12" s="8"/>
      <c r="X12" s="8"/>
      <c r="Y12" s="8"/>
      <c r="Z12" s="8"/>
      <c r="AA12" s="8"/>
    </row>
    <row r="13" spans="1:27" ht="12" customHeight="1" x14ac:dyDescent="0.2">
      <c r="A13" s="1033">
        <f t="shared" si="0"/>
        <v>5</v>
      </c>
      <c r="B13" s="1043" t="s">
        <v>43</v>
      </c>
      <c r="C13" s="1059"/>
      <c r="D13" s="1155"/>
      <c r="E13" s="1155"/>
      <c r="F13" s="1155"/>
      <c r="G13" s="1155"/>
      <c r="H13" s="1155"/>
      <c r="I13" s="1155"/>
      <c r="J13" s="1155"/>
      <c r="K13" s="1059" t="s">
        <v>31</v>
      </c>
      <c r="L13" s="1037">
        <f>Össz.önkor.mérleg.!L27</f>
        <v>10000</v>
      </c>
      <c r="M13" s="1037">
        <f>Össz.önkor.mérleg.!M27</f>
        <v>0</v>
      </c>
      <c r="N13" s="1037">
        <f>SUM(L13:M13)</f>
        <v>10000</v>
      </c>
      <c r="O13" s="1043"/>
      <c r="P13" s="1043"/>
      <c r="Q13" s="1043"/>
      <c r="R13" s="1043"/>
      <c r="S13" s="1038"/>
      <c r="T13" s="8"/>
      <c r="U13" s="8"/>
      <c r="V13" s="8"/>
      <c r="W13" s="8"/>
      <c r="X13" s="8"/>
      <c r="Y13" s="8"/>
      <c r="Z13" s="8"/>
      <c r="AA13" s="8"/>
    </row>
    <row r="14" spans="1:27" x14ac:dyDescent="0.2">
      <c r="A14" s="1033">
        <f t="shared" si="0"/>
        <v>6</v>
      </c>
      <c r="B14" s="1039" t="s">
        <v>44</v>
      </c>
      <c r="C14" s="1059">
        <f>Össz.önkor.mérleg.!C17</f>
        <v>0</v>
      </c>
      <c r="D14" s="1156">
        <f>Össz.önkor.mérleg.!D23</f>
        <v>0</v>
      </c>
      <c r="E14" s="1059">
        <f>Össz.önkor.mérleg.!E23</f>
        <v>0</v>
      </c>
      <c r="F14" s="1059"/>
      <c r="G14" s="1059"/>
      <c r="H14" s="1059"/>
      <c r="I14" s="1059"/>
      <c r="J14" s="1059"/>
      <c r="K14" s="1059" t="s">
        <v>32</v>
      </c>
      <c r="L14" s="1037">
        <f>Össz.önkor.mérleg.!L28</f>
        <v>0</v>
      </c>
      <c r="M14" s="1037">
        <f>Össz.önkor.mérleg.!M28</f>
        <v>0</v>
      </c>
      <c r="N14" s="1037">
        <f>SUM(L14:M14)</f>
        <v>0</v>
      </c>
      <c r="O14" s="1043"/>
      <c r="P14" s="1043"/>
      <c r="Q14" s="1043"/>
      <c r="R14" s="1043"/>
      <c r="S14" s="1038"/>
      <c r="T14" s="8"/>
      <c r="U14" s="8"/>
      <c r="V14" s="8"/>
      <c r="W14" s="8"/>
      <c r="X14" s="8"/>
      <c r="Y14" s="8"/>
      <c r="Z14" s="8"/>
      <c r="AA14" s="8"/>
    </row>
    <row r="15" spans="1:27" x14ac:dyDescent="0.2">
      <c r="A15" s="1033">
        <f t="shared" si="0"/>
        <v>7</v>
      </c>
      <c r="B15" s="1039" t="s">
        <v>45</v>
      </c>
      <c r="C15" s="1059">
        <f>Össz.önkor.mérleg.!C24</f>
        <v>0</v>
      </c>
      <c r="D15" s="1059">
        <f>Össz.önkor.mérleg.!D24</f>
        <v>0</v>
      </c>
      <c r="E15" s="1059">
        <f>Össz.önkor.mérleg.!E24</f>
        <v>0</v>
      </c>
      <c r="F15" s="1059"/>
      <c r="G15" s="1059"/>
      <c r="H15" s="1059"/>
      <c r="I15" s="1059"/>
      <c r="J15" s="1059"/>
      <c r="K15" s="1059" t="s">
        <v>473</v>
      </c>
      <c r="L15" s="1037">
        <f>Össz.önkor.mérleg.!L29</f>
        <v>0</v>
      </c>
      <c r="M15" s="1037">
        <f>Össz.önkor.mérleg.!M29</f>
        <v>0</v>
      </c>
      <c r="N15" s="1037">
        <f>SUM(L15:M15)</f>
        <v>0</v>
      </c>
      <c r="O15" s="1043"/>
      <c r="P15" s="1043"/>
      <c r="Q15" s="1043"/>
      <c r="R15" s="1043"/>
      <c r="S15" s="1038"/>
      <c r="T15" s="8"/>
      <c r="U15" s="8"/>
      <c r="V15" s="8"/>
      <c r="W15" s="8"/>
      <c r="X15" s="8"/>
      <c r="Y15" s="8"/>
      <c r="Z15" s="8"/>
      <c r="AA15" s="8"/>
    </row>
    <row r="16" spans="1:27" x14ac:dyDescent="0.2">
      <c r="A16" s="1033">
        <f t="shared" si="0"/>
        <v>8</v>
      </c>
      <c r="B16" s="1039" t="s">
        <v>46</v>
      </c>
      <c r="C16" s="1059">
        <f>Össz.önkor.mérleg.!C20</f>
        <v>0</v>
      </c>
      <c r="D16" s="1059">
        <f>Össz.önkor.mérleg.!D25</f>
        <v>0</v>
      </c>
      <c r="E16" s="1059">
        <f>Össz.önkor.mérleg.!E25</f>
        <v>0</v>
      </c>
      <c r="F16" s="1059"/>
      <c r="G16" s="1059"/>
      <c r="H16" s="1059"/>
      <c r="I16" s="1059"/>
      <c r="J16" s="1059"/>
      <c r="K16" s="1059" t="s">
        <v>470</v>
      </c>
      <c r="L16" s="1037">
        <f>Össz.önkor.mérleg.!L30</f>
        <v>33252</v>
      </c>
      <c r="M16" s="1037">
        <f>Össz.önkor.mérleg.!M30</f>
        <v>35520</v>
      </c>
      <c r="N16" s="1037">
        <f>Össz.önkor.mérleg.!N30</f>
        <v>68772</v>
      </c>
      <c r="O16" s="1043"/>
      <c r="P16" s="1043"/>
      <c r="Q16" s="1043"/>
      <c r="R16" s="1043"/>
      <c r="S16" s="1038"/>
      <c r="T16" s="8"/>
      <c r="U16" s="8"/>
      <c r="V16" s="8"/>
      <c r="W16" s="8"/>
      <c r="X16" s="8"/>
      <c r="Y16" s="8"/>
      <c r="Z16" s="8"/>
      <c r="AA16" s="8"/>
    </row>
    <row r="17" spans="1:27" x14ac:dyDescent="0.2">
      <c r="A17" s="1033">
        <f t="shared" si="0"/>
        <v>9</v>
      </c>
      <c r="B17" s="1039" t="s">
        <v>47</v>
      </c>
      <c r="C17" s="1059">
        <f>Össz.önkor.mérleg.!C21</f>
        <v>0</v>
      </c>
      <c r="D17" s="1059"/>
      <c r="E17" s="1059"/>
      <c r="F17" s="1059"/>
      <c r="G17" s="1059"/>
      <c r="H17" s="1059"/>
      <c r="I17" s="1059"/>
      <c r="J17" s="1059"/>
      <c r="K17" s="1059" t="s">
        <v>466</v>
      </c>
      <c r="L17" s="1037">
        <f>Össz.önkor.mérleg.!L31</f>
        <v>265118</v>
      </c>
      <c r="M17" s="1037">
        <f>Össz.önkor.mérleg.!M31</f>
        <v>0</v>
      </c>
      <c r="N17" s="1037">
        <f>Össz.önkor.mérleg.!N31</f>
        <v>265118</v>
      </c>
      <c r="O17" s="1043"/>
      <c r="P17" s="1043"/>
      <c r="Q17" s="1043"/>
      <c r="R17" s="1043"/>
      <c r="S17" s="1038"/>
      <c r="T17" s="8"/>
      <c r="U17" s="8"/>
      <c r="V17" s="8"/>
      <c r="W17" s="8"/>
      <c r="X17" s="8"/>
      <c r="Y17" s="8"/>
      <c r="Z17" s="8"/>
      <c r="AA17" s="8"/>
    </row>
    <row r="18" spans="1:27" x14ac:dyDescent="0.2">
      <c r="A18" s="1033">
        <f t="shared" si="0"/>
        <v>10</v>
      </c>
      <c r="B18" s="1039"/>
      <c r="C18" s="1059">
        <f>Össz.önkor.mérleg.!C22</f>
        <v>0</v>
      </c>
      <c r="D18" s="1059"/>
      <c r="E18" s="1059"/>
      <c r="F18" s="1059"/>
      <c r="G18" s="1059"/>
      <c r="H18" s="1059"/>
      <c r="I18" s="1059"/>
      <c r="J18" s="1059"/>
      <c r="K18" s="1156" t="s">
        <v>68</v>
      </c>
      <c r="L18" s="1157">
        <f>SUM(L12:L17)</f>
        <v>2339080</v>
      </c>
      <c r="M18" s="1157">
        <f>SUM(M12:M17)</f>
        <v>86126</v>
      </c>
      <c r="N18" s="1157">
        <f>SUM(N12:N17)</f>
        <v>2425206</v>
      </c>
      <c r="O18" s="1043"/>
      <c r="P18" s="1043"/>
      <c r="Q18" s="1043"/>
      <c r="R18" s="1043"/>
      <c r="S18" s="1038"/>
      <c r="T18" s="8"/>
      <c r="U18" s="8"/>
      <c r="V18" s="8"/>
      <c r="W18" s="8"/>
      <c r="X18" s="8"/>
      <c r="Y18" s="8"/>
      <c r="Z18" s="8"/>
      <c r="AA18" s="8"/>
    </row>
    <row r="19" spans="1:27" x14ac:dyDescent="0.2">
      <c r="A19" s="1033">
        <f t="shared" si="0"/>
        <v>11</v>
      </c>
      <c r="B19" s="1043" t="s">
        <v>675</v>
      </c>
      <c r="C19" s="1059">
        <f>Össz.önkor.mérleg.!C23</f>
        <v>0</v>
      </c>
      <c r="D19" s="1059">
        <f>Össz.önkor.mérleg.!D29</f>
        <v>2870</v>
      </c>
      <c r="E19" s="1059">
        <f>Össz.önkor.mérleg.!E29</f>
        <v>2870</v>
      </c>
      <c r="F19" s="1059"/>
      <c r="G19" s="1059"/>
      <c r="H19" s="1059"/>
      <c r="I19" s="1059"/>
      <c r="J19" s="1059"/>
      <c r="K19" s="1059"/>
      <c r="L19" s="1037"/>
      <c r="M19" s="1037"/>
      <c r="N19" s="1155"/>
      <c r="O19" s="1043"/>
      <c r="P19" s="1043"/>
      <c r="Q19" s="1043"/>
      <c r="R19" s="1043"/>
      <c r="S19" s="1038"/>
      <c r="T19" s="8"/>
      <c r="U19" s="8"/>
      <c r="V19" s="8"/>
      <c r="W19" s="8"/>
      <c r="X19" s="8"/>
      <c r="Y19" s="8"/>
      <c r="Z19" s="8"/>
      <c r="AA19" s="8"/>
    </row>
    <row r="20" spans="1:27" s="102" customFormat="1" x14ac:dyDescent="0.2">
      <c r="A20" s="1033">
        <f t="shared" si="0"/>
        <v>12</v>
      </c>
      <c r="B20" s="1043"/>
      <c r="C20" s="1059"/>
      <c r="D20" s="1059"/>
      <c r="E20" s="1059"/>
      <c r="F20" s="1059"/>
      <c r="G20" s="1059"/>
      <c r="H20" s="1059"/>
      <c r="I20" s="1059"/>
      <c r="J20" s="1059"/>
      <c r="K20" s="1037"/>
      <c r="L20" s="1037"/>
      <c r="M20" s="1037"/>
      <c r="N20" s="1037"/>
      <c r="O20" s="1165"/>
      <c r="P20" s="1165"/>
      <c r="Q20" s="1165"/>
      <c r="R20" s="1165"/>
      <c r="S20" s="1044"/>
    </row>
    <row r="21" spans="1:27" s="102" customFormat="1" x14ac:dyDescent="0.2">
      <c r="A21" s="1033">
        <f t="shared" si="0"/>
        <v>13</v>
      </c>
      <c r="B21" s="1050"/>
      <c r="C21" s="1155"/>
      <c r="D21" s="1155"/>
      <c r="E21" s="1155"/>
      <c r="F21" s="1155"/>
      <c r="G21" s="1155"/>
      <c r="H21" s="1155"/>
      <c r="I21" s="1155"/>
      <c r="J21" s="1155"/>
      <c r="K21" s="1037"/>
      <c r="L21" s="1037"/>
      <c r="M21" s="1037"/>
      <c r="N21" s="1037"/>
      <c r="O21" s="1165"/>
      <c r="P21" s="1165"/>
      <c r="Q21" s="1165"/>
      <c r="R21" s="1165"/>
      <c r="S21" s="1044"/>
    </row>
    <row r="22" spans="1:27" x14ac:dyDescent="0.2">
      <c r="A22" s="1033">
        <f t="shared" si="0"/>
        <v>14</v>
      </c>
      <c r="B22" s="1052" t="s">
        <v>67</v>
      </c>
      <c r="C22" s="1047">
        <f>C11+C13+C14+C15+C16+C17+C19</f>
        <v>0</v>
      </c>
      <c r="D22" s="1047">
        <f>D11+D13+D14+D15+D16+D17+D19</f>
        <v>2870</v>
      </c>
      <c r="E22" s="1047">
        <f>E11+E13+E14+E15+E16+E17+E19</f>
        <v>2870</v>
      </c>
      <c r="F22" s="1047"/>
      <c r="G22" s="1047"/>
      <c r="H22" s="1047"/>
      <c r="I22" s="1047"/>
      <c r="J22" s="1047"/>
      <c r="K22" s="1047"/>
      <c r="L22" s="1047"/>
      <c r="M22" s="1047"/>
      <c r="N22" s="1047"/>
      <c r="O22" s="1043"/>
      <c r="P22" s="1043"/>
      <c r="Q22" s="1043"/>
      <c r="R22" s="1043"/>
      <c r="S22" s="1038"/>
      <c r="T22" s="8"/>
      <c r="U22" s="8"/>
      <c r="V22" s="8"/>
      <c r="W22" s="8"/>
      <c r="X22" s="8"/>
      <c r="Y22" s="8"/>
      <c r="Z22" s="8"/>
      <c r="AA22" s="8"/>
    </row>
    <row r="23" spans="1:27" x14ac:dyDescent="0.2">
      <c r="A23" s="1033">
        <f t="shared" si="0"/>
        <v>15</v>
      </c>
      <c r="B23" s="1053" t="s">
        <v>51</v>
      </c>
      <c r="C23" s="1035">
        <f>SUM(C21:C22)</f>
        <v>0</v>
      </c>
      <c r="D23" s="1035">
        <f>SUM(D21:D22)</f>
        <v>2870</v>
      </c>
      <c r="E23" s="1035">
        <f>SUM(E21:E22)</f>
        <v>2870</v>
      </c>
      <c r="F23" s="1035"/>
      <c r="G23" s="1035"/>
      <c r="H23" s="1035"/>
      <c r="I23" s="1035"/>
      <c r="J23" s="1035"/>
      <c r="K23" s="1035" t="s">
        <v>69</v>
      </c>
      <c r="L23" s="1035">
        <f>L22+L18</f>
        <v>2339080</v>
      </c>
      <c r="M23" s="1035">
        <f>M22+M18</f>
        <v>86126</v>
      </c>
      <c r="N23" s="1035">
        <f>N22+N18</f>
        <v>2425206</v>
      </c>
      <c r="O23" s="1043"/>
      <c r="P23" s="1043"/>
      <c r="Q23" s="1043"/>
      <c r="R23" s="1043"/>
      <c r="S23" s="1038"/>
      <c r="T23" s="8"/>
      <c r="U23" s="8"/>
      <c r="V23" s="8"/>
      <c r="W23" s="8"/>
      <c r="X23" s="8"/>
      <c r="Y23" s="8"/>
      <c r="Z23" s="8"/>
      <c r="AA23" s="8"/>
    </row>
    <row r="24" spans="1:27" x14ac:dyDescent="0.2">
      <c r="A24" s="1033">
        <f t="shared" si="0"/>
        <v>16</v>
      </c>
      <c r="B24" s="1043"/>
      <c r="C24" s="1037"/>
      <c r="D24" s="1037"/>
      <c r="E24" s="1037"/>
      <c r="F24" s="1037"/>
      <c r="G24" s="1037"/>
      <c r="H24" s="1037"/>
      <c r="I24" s="1037"/>
      <c r="J24" s="1037"/>
      <c r="K24" s="1037"/>
      <c r="L24" s="1037"/>
      <c r="M24" s="1037"/>
      <c r="N24" s="1037"/>
      <c r="O24" s="1043"/>
      <c r="P24" s="1043"/>
      <c r="Q24" s="1043"/>
      <c r="R24" s="1043"/>
      <c r="S24" s="1038"/>
      <c r="T24" s="8"/>
      <c r="U24" s="8"/>
      <c r="V24" s="8"/>
      <c r="W24" s="8"/>
      <c r="X24" s="8"/>
      <c r="Y24" s="8"/>
      <c r="Z24" s="8"/>
      <c r="AA24" s="8"/>
    </row>
    <row r="25" spans="1:27" x14ac:dyDescent="0.2">
      <c r="A25" s="1033">
        <f t="shared" si="0"/>
        <v>17</v>
      </c>
      <c r="B25" s="1053" t="s">
        <v>676</v>
      </c>
      <c r="C25" s="1035">
        <f>C23-L23</f>
        <v>-2339080</v>
      </c>
      <c r="D25" s="1035">
        <f>D23-M23</f>
        <v>-83256</v>
      </c>
      <c r="E25" s="1170">
        <f>E23-N23</f>
        <v>-2422336</v>
      </c>
      <c r="F25" s="1170"/>
      <c r="G25" s="1170"/>
      <c r="H25" s="1170"/>
      <c r="I25" s="1170"/>
      <c r="J25" s="1170"/>
      <c r="K25" s="1037"/>
      <c r="L25" s="1037"/>
      <c r="M25" s="1037"/>
      <c r="N25" s="1037"/>
      <c r="O25" s="1043"/>
      <c r="P25" s="1043"/>
      <c r="Q25" s="1043"/>
      <c r="R25" s="1043"/>
      <c r="S25" s="1038"/>
      <c r="T25" s="8"/>
      <c r="U25" s="8"/>
      <c r="V25" s="8"/>
      <c r="W25" s="8"/>
      <c r="X25" s="8"/>
      <c r="Y25" s="8"/>
      <c r="Z25" s="8"/>
      <c r="AA25" s="8"/>
    </row>
    <row r="26" spans="1:27" ht="16.5" customHeight="1" x14ac:dyDescent="0.2">
      <c r="A26" s="1056">
        <f t="shared" si="0"/>
        <v>18</v>
      </c>
      <c r="B26" s="1058"/>
      <c r="C26" s="1171"/>
      <c r="D26" s="1171"/>
      <c r="E26" s="1171"/>
      <c r="F26" s="1171"/>
      <c r="G26" s="1171"/>
      <c r="H26" s="1171"/>
      <c r="I26" s="1171"/>
      <c r="J26" s="1171"/>
      <c r="K26" s="1037"/>
      <c r="L26" s="1037"/>
      <c r="M26" s="1037"/>
      <c r="N26" s="1037"/>
      <c r="O26" s="1043"/>
      <c r="P26" s="1043"/>
      <c r="Q26" s="1043"/>
      <c r="R26" s="1043"/>
      <c r="S26" s="1038"/>
      <c r="T26" s="8"/>
      <c r="U26" s="8"/>
      <c r="V26" s="8"/>
      <c r="W26" s="8"/>
      <c r="X26" s="8"/>
      <c r="Y26" s="8"/>
      <c r="Z26" s="8"/>
      <c r="AA26" s="8"/>
    </row>
    <row r="27" spans="1:27" s="9" customFormat="1" x14ac:dyDescent="0.2">
      <c r="A27" s="1033">
        <f>A26+1</f>
        <v>19</v>
      </c>
      <c r="B27" s="1043"/>
      <c r="C27" s="1037"/>
      <c r="D27" s="1037"/>
      <c r="E27" s="1037"/>
      <c r="F27" s="1037"/>
      <c r="G27" s="1037"/>
      <c r="H27" s="1037"/>
      <c r="I27" s="1037"/>
      <c r="J27" s="1037"/>
      <c r="K27" s="1037"/>
      <c r="L27" s="1037"/>
      <c r="M27" s="1037"/>
      <c r="N27" s="1037"/>
      <c r="O27" s="1053"/>
      <c r="P27" s="1053"/>
      <c r="Q27" s="1053"/>
      <c r="R27" s="1053"/>
      <c r="S27" s="1051"/>
    </row>
    <row r="28" spans="1:27" s="9" customFormat="1" x14ac:dyDescent="0.2">
      <c r="A28" s="1033">
        <f t="shared" si="0"/>
        <v>20</v>
      </c>
      <c r="B28" s="1036" t="s">
        <v>53</v>
      </c>
      <c r="C28" s="1036"/>
      <c r="D28" s="1036"/>
      <c r="E28" s="1036"/>
      <c r="F28" s="1036"/>
      <c r="G28" s="1036"/>
      <c r="H28" s="1036"/>
      <c r="I28" s="1036"/>
      <c r="J28" s="1036"/>
      <c r="K28" s="1036" t="s">
        <v>33</v>
      </c>
      <c r="L28" s="1035"/>
      <c r="M28" s="1035"/>
      <c r="N28" s="1035"/>
      <c r="O28" s="1053"/>
      <c r="P28" s="1053"/>
      <c r="Q28" s="1053"/>
      <c r="R28" s="1053"/>
      <c r="S28" s="1051"/>
    </row>
    <row r="29" spans="1:27" s="9" customFormat="1" x14ac:dyDescent="0.2">
      <c r="A29" s="1033">
        <f t="shared" si="0"/>
        <v>21</v>
      </c>
      <c r="B29" s="1054" t="s">
        <v>726</v>
      </c>
      <c r="C29" s="1036"/>
      <c r="D29" s="1036"/>
      <c r="E29" s="1036"/>
      <c r="F29" s="1036"/>
      <c r="G29" s="1036"/>
      <c r="H29" s="1036"/>
      <c r="I29" s="1036"/>
      <c r="J29" s="1036"/>
      <c r="K29" s="1054" t="s">
        <v>4</v>
      </c>
      <c r="L29" s="1035"/>
      <c r="M29" s="1053"/>
      <c r="N29" s="1053"/>
      <c r="O29" s="1053"/>
      <c r="P29" s="1053"/>
      <c r="Q29" s="1053"/>
      <c r="R29" s="1053"/>
      <c r="S29" s="1051"/>
    </row>
    <row r="30" spans="1:27" s="9" customFormat="1" x14ac:dyDescent="0.2">
      <c r="A30" s="1033">
        <f t="shared" si="0"/>
        <v>22</v>
      </c>
      <c r="B30" s="1043" t="s">
        <v>1083</v>
      </c>
      <c r="C30" s="1059">
        <f>Össz.önkor.mérleg.!C39</f>
        <v>1243160</v>
      </c>
      <c r="D30" s="1059">
        <f>Össz.önkor.mérleg.!D39</f>
        <v>0</v>
      </c>
      <c r="E30" s="1059">
        <f>Össz.önkor.mérleg.!E39</f>
        <v>1243160</v>
      </c>
      <c r="F30" s="1059"/>
      <c r="G30" s="1059"/>
      <c r="H30" s="1059"/>
      <c r="I30" s="1059"/>
      <c r="J30" s="1059"/>
      <c r="K30" s="1043" t="s">
        <v>3</v>
      </c>
      <c r="L30" s="1035"/>
      <c r="M30" s="1035"/>
      <c r="N30" s="1035"/>
      <c r="O30" s="1053"/>
      <c r="P30" s="1053"/>
      <c r="Q30" s="1053"/>
      <c r="R30" s="1053"/>
      <c r="S30" s="1051"/>
    </row>
    <row r="31" spans="1:27" x14ac:dyDescent="0.2">
      <c r="A31" s="1033">
        <f t="shared" si="0"/>
        <v>23</v>
      </c>
      <c r="B31" s="1059" t="s">
        <v>728</v>
      </c>
      <c r="C31" s="1159"/>
      <c r="D31" s="1054"/>
      <c r="E31" s="1054">
        <f>SUM(C31:D31)</f>
        <v>0</v>
      </c>
      <c r="F31" s="1054"/>
      <c r="G31" s="1054"/>
      <c r="H31" s="1054"/>
      <c r="I31" s="1054"/>
      <c r="J31" s="1054"/>
      <c r="K31" s="1059" t="s">
        <v>5</v>
      </c>
      <c r="L31" s="1035"/>
      <c r="M31" s="1035"/>
      <c r="N31" s="1035"/>
      <c r="O31" s="1043"/>
      <c r="P31" s="1043"/>
      <c r="Q31" s="1043"/>
      <c r="R31" s="1043"/>
      <c r="S31" s="1038"/>
      <c r="T31" s="8"/>
      <c r="U31" s="8"/>
      <c r="V31" s="8"/>
      <c r="W31" s="8"/>
      <c r="X31" s="8"/>
      <c r="Y31" s="8"/>
      <c r="Z31" s="8"/>
      <c r="AA31" s="8"/>
    </row>
    <row r="32" spans="1:27" x14ac:dyDescent="0.2">
      <c r="A32" s="1033">
        <f t="shared" si="0"/>
        <v>24</v>
      </c>
      <c r="B32" s="1059" t="s">
        <v>727</v>
      </c>
      <c r="C32" s="1059"/>
      <c r="D32" s="1059"/>
      <c r="E32" s="1059"/>
      <c r="F32" s="1059"/>
      <c r="G32" s="1059"/>
      <c r="H32" s="1059"/>
      <c r="I32" s="1059"/>
      <c r="J32" s="1059"/>
      <c r="K32" s="1059" t="s">
        <v>6</v>
      </c>
      <c r="L32" s="1035"/>
      <c r="M32" s="1035"/>
      <c r="N32" s="1035"/>
      <c r="O32" s="1043"/>
      <c r="P32" s="1043"/>
      <c r="Q32" s="1043"/>
      <c r="R32" s="1043"/>
      <c r="S32" s="1038"/>
      <c r="T32" s="8"/>
      <c r="U32" s="8"/>
      <c r="V32" s="8"/>
      <c r="W32" s="8"/>
      <c r="X32" s="8"/>
      <c r="Y32" s="8"/>
      <c r="Z32" s="8"/>
      <c r="AA32" s="8"/>
    </row>
    <row r="33" spans="1:27" x14ac:dyDescent="0.2">
      <c r="A33" s="1033">
        <f t="shared" si="0"/>
        <v>25</v>
      </c>
      <c r="B33" s="1059" t="s">
        <v>1159</v>
      </c>
      <c r="C33" s="1040">
        <f>-(C25+C30)</f>
        <v>1095920</v>
      </c>
      <c r="D33" s="1040">
        <f t="shared" ref="D33:E33" si="1">-(D25+D30)</f>
        <v>83256</v>
      </c>
      <c r="E33" s="1040">
        <f t="shared" si="1"/>
        <v>1179176</v>
      </c>
      <c r="F33" s="1040"/>
      <c r="G33" s="1040"/>
      <c r="H33" s="1040"/>
      <c r="I33" s="1040"/>
      <c r="J33" s="1040"/>
      <c r="K33" s="1059" t="s">
        <v>7</v>
      </c>
      <c r="L33" s="1035"/>
      <c r="M33" s="1035"/>
      <c r="N33" s="1035"/>
      <c r="O33" s="1043"/>
      <c r="P33" s="1043"/>
      <c r="Q33" s="1043"/>
      <c r="R33" s="1043"/>
      <c r="S33" s="1038"/>
      <c r="T33" s="8"/>
      <c r="U33" s="8"/>
      <c r="V33" s="8"/>
      <c r="W33" s="8"/>
      <c r="X33" s="8"/>
      <c r="Y33" s="8"/>
      <c r="Z33" s="8"/>
      <c r="AA33" s="8"/>
    </row>
    <row r="34" spans="1:27" x14ac:dyDescent="0.2">
      <c r="A34" s="1033">
        <f t="shared" si="0"/>
        <v>26</v>
      </c>
      <c r="B34" s="1059" t="s">
        <v>729</v>
      </c>
      <c r="C34" s="1036"/>
      <c r="D34" s="1036"/>
      <c r="E34" s="1036"/>
      <c r="F34" s="1036"/>
      <c r="G34" s="1036"/>
      <c r="H34" s="1036"/>
      <c r="I34" s="1036"/>
      <c r="J34" s="1036"/>
      <c r="K34" s="1059" t="s">
        <v>9</v>
      </c>
      <c r="L34" s="1035"/>
      <c r="M34" s="1035"/>
      <c r="N34" s="1037"/>
      <c r="O34" s="1043"/>
      <c r="P34" s="1043"/>
      <c r="Q34" s="1043"/>
      <c r="R34" s="1043"/>
      <c r="S34" s="1038"/>
      <c r="T34" s="8"/>
      <c r="U34" s="8"/>
      <c r="V34" s="8"/>
      <c r="W34" s="8"/>
      <c r="X34" s="8"/>
      <c r="Y34" s="8"/>
      <c r="Z34" s="8"/>
      <c r="AA34" s="8"/>
    </row>
    <row r="35" spans="1:27" x14ac:dyDescent="0.2">
      <c r="A35" s="1033">
        <f t="shared" si="0"/>
        <v>27</v>
      </c>
      <c r="B35" s="1059" t="s">
        <v>730</v>
      </c>
      <c r="C35" s="1059"/>
      <c r="D35" s="1059"/>
      <c r="E35" s="1059"/>
      <c r="F35" s="1059"/>
      <c r="G35" s="1059"/>
      <c r="H35" s="1059"/>
      <c r="I35" s="1059"/>
      <c r="J35" s="1059"/>
      <c r="K35" s="1059" t="s">
        <v>10</v>
      </c>
      <c r="L35" s="1037"/>
      <c r="M35" s="1037"/>
      <c r="N35" s="1037"/>
      <c r="O35" s="1043"/>
      <c r="P35" s="1043"/>
      <c r="Q35" s="1043"/>
      <c r="R35" s="1043"/>
      <c r="S35" s="1038"/>
      <c r="T35" s="8"/>
      <c r="U35" s="8"/>
      <c r="V35" s="8"/>
      <c r="W35" s="8"/>
      <c r="X35" s="8"/>
      <c r="Y35" s="8"/>
      <c r="Z35" s="8"/>
      <c r="AA35" s="8"/>
    </row>
    <row r="36" spans="1:27" x14ac:dyDescent="0.2">
      <c r="A36" s="1033">
        <f t="shared" si="0"/>
        <v>28</v>
      </c>
      <c r="B36" s="1059" t="s">
        <v>731</v>
      </c>
      <c r="C36" s="1059"/>
      <c r="D36" s="1059"/>
      <c r="E36" s="1059"/>
      <c r="F36" s="1059"/>
      <c r="G36" s="1059"/>
      <c r="H36" s="1059"/>
      <c r="I36" s="1059"/>
      <c r="J36" s="1059"/>
      <c r="K36" s="1059" t="s">
        <v>11</v>
      </c>
      <c r="L36" s="1037"/>
      <c r="M36" s="1037"/>
      <c r="N36" s="1037"/>
      <c r="O36" s="1043"/>
      <c r="P36" s="1043"/>
      <c r="Q36" s="1043"/>
      <c r="R36" s="1043"/>
      <c r="S36" s="1038"/>
      <c r="T36" s="8"/>
      <c r="U36" s="8"/>
      <c r="V36" s="8"/>
      <c r="W36" s="8"/>
      <c r="X36" s="8"/>
      <c r="Y36" s="8"/>
      <c r="Z36" s="8"/>
      <c r="AA36" s="8"/>
    </row>
    <row r="37" spans="1:27" x14ac:dyDescent="0.2">
      <c r="A37" s="1033">
        <f t="shared" si="0"/>
        <v>29</v>
      </c>
      <c r="B37" s="1059" t="s">
        <v>732</v>
      </c>
      <c r="C37" s="1059"/>
      <c r="D37" s="1059"/>
      <c r="E37" s="1059"/>
      <c r="F37" s="1059"/>
      <c r="G37" s="1059"/>
      <c r="H37" s="1059"/>
      <c r="I37" s="1059"/>
      <c r="J37" s="1059"/>
      <c r="K37" s="1059" t="s">
        <v>12</v>
      </c>
      <c r="L37" s="1037"/>
      <c r="M37" s="1037"/>
      <c r="N37" s="1037"/>
      <c r="O37" s="1043"/>
      <c r="P37" s="1043"/>
      <c r="Q37" s="1043"/>
      <c r="R37" s="1043"/>
      <c r="S37" s="1038"/>
      <c r="T37" s="8"/>
      <c r="U37" s="8"/>
      <c r="V37" s="8"/>
      <c r="W37" s="8"/>
      <c r="X37" s="8"/>
      <c r="Y37" s="8"/>
      <c r="Z37" s="8"/>
      <c r="AA37" s="8"/>
    </row>
    <row r="38" spans="1:27" x14ac:dyDescent="0.2">
      <c r="A38" s="1033">
        <f t="shared" si="0"/>
        <v>30</v>
      </c>
      <c r="B38" s="1059" t="s">
        <v>0</v>
      </c>
      <c r="C38" s="1059"/>
      <c r="D38" s="1059"/>
      <c r="E38" s="1059"/>
      <c r="F38" s="1059"/>
      <c r="G38" s="1059"/>
      <c r="H38" s="1059"/>
      <c r="I38" s="1059"/>
      <c r="J38" s="1059"/>
      <c r="K38" s="1059" t="s">
        <v>13</v>
      </c>
      <c r="L38" s="1037"/>
      <c r="M38" s="1037"/>
      <c r="N38" s="1037"/>
      <c r="O38" s="1043"/>
      <c r="P38" s="1043"/>
      <c r="Q38" s="1043"/>
      <c r="R38" s="1043"/>
      <c r="S38" s="1038"/>
      <c r="T38" s="8"/>
      <c r="U38" s="8"/>
      <c r="V38" s="8"/>
      <c r="W38" s="8"/>
      <c r="X38" s="8"/>
      <c r="Y38" s="8"/>
      <c r="Z38" s="8"/>
      <c r="AA38" s="8"/>
    </row>
    <row r="39" spans="1:27" x14ac:dyDescent="0.2">
      <c r="A39" s="1033">
        <f t="shared" si="0"/>
        <v>31</v>
      </c>
      <c r="B39" s="1059" t="s">
        <v>1</v>
      </c>
      <c r="C39" s="1059"/>
      <c r="D39" s="1059"/>
      <c r="E39" s="1059"/>
      <c r="F39" s="1059"/>
      <c r="G39" s="1059"/>
      <c r="H39" s="1059"/>
      <c r="I39" s="1059"/>
      <c r="J39" s="1059"/>
      <c r="K39" s="1059" t="s">
        <v>14</v>
      </c>
      <c r="L39" s="1037"/>
      <c r="M39" s="1037"/>
      <c r="N39" s="1037"/>
      <c r="O39" s="1043"/>
      <c r="P39" s="1043"/>
      <c r="Q39" s="1043"/>
      <c r="R39" s="1043"/>
      <c r="S39" s="1038"/>
      <c r="T39" s="8"/>
      <c r="U39" s="8"/>
      <c r="V39" s="8"/>
      <c r="W39" s="8"/>
      <c r="X39" s="8"/>
      <c r="Y39" s="8"/>
      <c r="Z39" s="8"/>
      <c r="AA39" s="8"/>
    </row>
    <row r="40" spans="1:27" x14ac:dyDescent="0.2">
      <c r="A40" s="1033">
        <f t="shared" si="0"/>
        <v>32</v>
      </c>
      <c r="B40" s="1059" t="s">
        <v>2</v>
      </c>
      <c r="C40" s="1059"/>
      <c r="D40" s="1059"/>
      <c r="E40" s="1059"/>
      <c r="F40" s="1059"/>
      <c r="G40" s="1059"/>
      <c r="H40" s="1059"/>
      <c r="I40" s="1059"/>
      <c r="J40" s="1059"/>
      <c r="K40" s="1059" t="s">
        <v>15</v>
      </c>
      <c r="L40" s="1037"/>
      <c r="M40" s="1037"/>
      <c r="N40" s="1037"/>
      <c r="O40" s="1043"/>
      <c r="P40" s="1043"/>
      <c r="Q40" s="1043"/>
      <c r="R40" s="1043"/>
      <c r="S40" s="1038"/>
      <c r="T40" s="8"/>
      <c r="U40" s="8"/>
      <c r="V40" s="8"/>
      <c r="W40" s="8"/>
      <c r="X40" s="8"/>
      <c r="Y40" s="8"/>
      <c r="Z40" s="8"/>
      <c r="AA40" s="8"/>
    </row>
    <row r="41" spans="1:27" x14ac:dyDescent="0.2">
      <c r="A41" s="1033">
        <f t="shared" si="0"/>
        <v>33</v>
      </c>
      <c r="B41" s="1053" t="s">
        <v>474</v>
      </c>
      <c r="C41" s="1036">
        <f>SUM(C29:C39)</f>
        <v>2339080</v>
      </c>
      <c r="D41" s="1036">
        <f>SUM(D29:D39)</f>
        <v>83256</v>
      </c>
      <c r="E41" s="1036">
        <f>SUM(E29:E39)</f>
        <v>2422336</v>
      </c>
      <c r="F41" s="1036"/>
      <c r="G41" s="1036"/>
      <c r="H41" s="1036"/>
      <c r="I41" s="1036"/>
      <c r="J41" s="1036"/>
      <c r="K41" s="1036" t="s">
        <v>467</v>
      </c>
      <c r="L41" s="1035">
        <f>SUM(L29:L40)</f>
        <v>0</v>
      </c>
      <c r="M41" s="1035">
        <f>SUM(M29:M40)</f>
        <v>0</v>
      </c>
      <c r="N41" s="1035">
        <f>SUM(N29:N40)</f>
        <v>0</v>
      </c>
      <c r="O41" s="1043"/>
      <c r="P41" s="1043"/>
      <c r="Q41" s="1043"/>
      <c r="R41" s="1043"/>
      <c r="S41" s="1038"/>
      <c r="T41" s="8"/>
      <c r="U41" s="8"/>
      <c r="V41" s="8"/>
      <c r="W41" s="8"/>
      <c r="X41" s="8"/>
      <c r="Y41" s="8"/>
      <c r="Z41" s="8"/>
      <c r="AA41" s="8"/>
    </row>
    <row r="42" spans="1:27" x14ac:dyDescent="0.2">
      <c r="A42" s="1033">
        <f t="shared" si="0"/>
        <v>34</v>
      </c>
      <c r="B42" s="1053" t="s">
        <v>469</v>
      </c>
      <c r="C42" s="1035">
        <f>C23+C26+C41</f>
        <v>2339080</v>
      </c>
      <c r="D42" s="1035">
        <f>D23+D26+D41</f>
        <v>86126</v>
      </c>
      <c r="E42" s="1035">
        <f>E23+E26+E41</f>
        <v>2425206</v>
      </c>
      <c r="F42" s="1035"/>
      <c r="G42" s="1035"/>
      <c r="H42" s="1035"/>
      <c r="I42" s="1035"/>
      <c r="J42" s="1035"/>
      <c r="K42" s="1053" t="s">
        <v>468</v>
      </c>
      <c r="L42" s="1035">
        <f>L23+L41</f>
        <v>2339080</v>
      </c>
      <c r="M42" s="1035">
        <f>M23+M41</f>
        <v>86126</v>
      </c>
      <c r="N42" s="1170">
        <f>N23+N41</f>
        <v>2425206</v>
      </c>
      <c r="O42" s="1043"/>
      <c r="P42" s="1043"/>
      <c r="Q42" s="1043"/>
      <c r="R42" s="1043"/>
      <c r="S42" s="1038"/>
      <c r="T42" s="8"/>
      <c r="U42" s="8"/>
      <c r="V42" s="8"/>
      <c r="W42" s="8"/>
      <c r="X42" s="8"/>
      <c r="Y42" s="8"/>
      <c r="Z42" s="8"/>
      <c r="AA42" s="8"/>
    </row>
    <row r="43" spans="1:27" x14ac:dyDescent="0.2">
      <c r="B43" s="150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S43" s="8"/>
      <c r="T43" s="8"/>
      <c r="U43" s="8"/>
      <c r="V43" s="8"/>
      <c r="W43" s="8"/>
      <c r="X43" s="8"/>
      <c r="Y43" s="8"/>
      <c r="Z43" s="8"/>
      <c r="AA43" s="8"/>
    </row>
    <row r="44" spans="1:27" x14ac:dyDescent="0.2">
      <c r="Y44" s="8"/>
      <c r="Z44" s="8"/>
      <c r="AA44" s="8"/>
    </row>
    <row r="47" spans="1:27" x14ac:dyDescent="0.2">
      <c r="D47" s="136"/>
    </row>
  </sheetData>
  <sheetProtection selectLockedCells="1" selectUnlockedCells="1"/>
  <mergeCells count="14">
    <mergeCell ref="O7:P7"/>
    <mergeCell ref="Q7:S7"/>
    <mergeCell ref="A1:N1"/>
    <mergeCell ref="C6:E6"/>
    <mergeCell ref="L6:N6"/>
    <mergeCell ref="C7:E7"/>
    <mergeCell ref="L7:N7"/>
    <mergeCell ref="B3:N3"/>
    <mergeCell ref="A5:N5"/>
    <mergeCell ref="B4:N4"/>
    <mergeCell ref="A6:A8"/>
    <mergeCell ref="B6:B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8" scale="79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07" customWidth="1"/>
    <col min="2" max="2" width="71.7109375" style="307" customWidth="1"/>
    <col min="3" max="3" width="13.5703125" style="307" customWidth="1"/>
    <col min="4" max="4" width="9.140625" style="295"/>
    <col min="5" max="16384" width="9.140625" style="296"/>
  </cols>
  <sheetData>
    <row r="2" spans="1:4" ht="20.100000000000001" customHeight="1" x14ac:dyDescent="0.25">
      <c r="A2" s="296"/>
      <c r="B2" s="1560" t="s">
        <v>1244</v>
      </c>
      <c r="C2" s="1560"/>
    </row>
    <row r="3" spans="1:4" ht="20.100000000000001" customHeight="1" x14ac:dyDescent="0.25">
      <c r="A3" s="296"/>
      <c r="B3" s="376"/>
      <c r="C3" s="376"/>
    </row>
    <row r="4" spans="1:4" ht="20.100000000000001" customHeight="1" x14ac:dyDescent="0.25">
      <c r="A4" s="296"/>
      <c r="B4" s="1562" t="s">
        <v>78</v>
      </c>
      <c r="C4" s="1562"/>
    </row>
    <row r="5" spans="1:4" ht="20.100000000000001" customHeight="1" x14ac:dyDescent="0.25">
      <c r="A5" s="296"/>
      <c r="B5" s="1562" t="s">
        <v>1129</v>
      </c>
      <c r="C5" s="1562"/>
    </row>
    <row r="6" spans="1:4" ht="20.100000000000001" customHeight="1" x14ac:dyDescent="0.25">
      <c r="A6" s="296"/>
      <c r="B6" s="1562" t="s">
        <v>439</v>
      </c>
      <c r="C6" s="1562"/>
    </row>
    <row r="7" spans="1:4" s="298" customFormat="1" ht="20.100000000000001" customHeight="1" x14ac:dyDescent="0.25">
      <c r="B7" s="1562"/>
      <c r="C7" s="1562"/>
      <c r="D7" s="297"/>
    </row>
    <row r="8" spans="1:4" s="298" customFormat="1" ht="20.100000000000001" customHeight="1" x14ac:dyDescent="0.25">
      <c r="B8" s="377"/>
      <c r="C8" s="377"/>
      <c r="D8" s="297"/>
    </row>
    <row r="9" spans="1:4" s="300" customFormat="1" ht="20.100000000000001" customHeight="1" x14ac:dyDescent="0.25">
      <c r="B9" s="378"/>
      <c r="C9" s="379" t="s">
        <v>336</v>
      </c>
      <c r="D9" s="299"/>
    </row>
    <row r="10" spans="1:4" ht="20.100000000000001" customHeight="1" x14ac:dyDescent="0.25">
      <c r="A10" s="1561"/>
      <c r="B10" s="380" t="s">
        <v>57</v>
      </c>
      <c r="C10" s="380" t="s">
        <v>58</v>
      </c>
    </row>
    <row r="11" spans="1:4" s="300" customFormat="1" ht="30.75" customHeight="1" x14ac:dyDescent="0.25">
      <c r="A11" s="1561"/>
      <c r="B11" s="381" t="s">
        <v>86</v>
      </c>
      <c r="C11" s="381" t="s">
        <v>440</v>
      </c>
      <c r="D11" s="299"/>
    </row>
    <row r="12" spans="1:4" ht="22.5" customHeight="1" x14ac:dyDescent="0.25">
      <c r="A12" s="382"/>
      <c r="B12" s="296"/>
      <c r="C12" s="296"/>
    </row>
    <row r="13" spans="1:4" ht="51" customHeight="1" x14ac:dyDescent="0.25">
      <c r="A13" s="383" t="s">
        <v>508</v>
      </c>
      <c r="B13" s="384" t="s">
        <v>1203</v>
      </c>
      <c r="C13" s="595">
        <v>169769</v>
      </c>
    </row>
    <row r="14" spans="1:4" ht="20.100000000000001" customHeight="1" x14ac:dyDescent="0.25">
      <c r="A14" s="382"/>
      <c r="B14" s="296"/>
      <c r="C14" s="596"/>
    </row>
    <row r="15" spans="1:4" ht="35.25" customHeight="1" x14ac:dyDescent="0.25">
      <c r="A15" s="383" t="s">
        <v>516</v>
      </c>
      <c r="B15" s="385" t="s">
        <v>1226</v>
      </c>
      <c r="C15" s="595">
        <v>1467</v>
      </c>
    </row>
    <row r="16" spans="1:4" ht="20.100000000000001" customHeight="1" x14ac:dyDescent="0.25">
      <c r="A16" s="382"/>
      <c r="B16" s="296"/>
      <c r="C16" s="596"/>
    </row>
    <row r="17" spans="1:4" ht="36" customHeight="1" x14ac:dyDescent="0.25">
      <c r="A17" s="383" t="s">
        <v>517</v>
      </c>
      <c r="B17" s="386" t="s">
        <v>441</v>
      </c>
      <c r="C17" s="597">
        <v>547</v>
      </c>
    </row>
    <row r="18" spans="1:4" ht="20.100000000000001" customHeight="1" x14ac:dyDescent="0.25">
      <c r="A18" s="382"/>
      <c r="B18" s="387"/>
      <c r="C18" s="596"/>
    </row>
    <row r="19" spans="1:4" s="298" customFormat="1" ht="20.100000000000001" customHeight="1" x14ac:dyDescent="0.25">
      <c r="A19" s="382" t="s">
        <v>518</v>
      </c>
      <c r="B19" s="298" t="s">
        <v>442</v>
      </c>
      <c r="C19" s="598">
        <f>SUM(C13:C18)</f>
        <v>171783</v>
      </c>
      <c r="D19" s="297"/>
    </row>
    <row r="20" spans="1:4" ht="20.100000000000001" customHeight="1" x14ac:dyDescent="0.25">
      <c r="A20" s="296"/>
      <c r="B20" s="296"/>
      <c r="C20" s="596"/>
    </row>
    <row r="21" spans="1:4" ht="20.100000000000001" customHeight="1" x14ac:dyDescent="0.25">
      <c r="C21" s="308"/>
    </row>
    <row r="22" spans="1:4" ht="20.100000000000001" customHeight="1" x14ac:dyDescent="0.25">
      <c r="C22" s="308"/>
    </row>
    <row r="23" spans="1:4" ht="20.100000000000001" customHeight="1" x14ac:dyDescent="0.25">
      <c r="C23" s="308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5"/>
  <sheetViews>
    <sheetView zoomScaleNormal="100" workbookViewId="0">
      <selection activeCell="N28" sqref="N28"/>
    </sheetView>
  </sheetViews>
  <sheetFormatPr defaultColWidth="10.28515625" defaultRowHeight="12.75" x14ac:dyDescent="0.2"/>
  <cols>
    <col min="1" max="1" width="3.140625" style="301" customWidth="1"/>
    <col min="2" max="2" width="29.28515625" style="301" customWidth="1"/>
    <col min="3" max="3" width="16.85546875" style="301" bestFit="1" customWidth="1"/>
    <col min="4" max="4" width="15.5703125" style="301" customWidth="1"/>
    <col min="5" max="5" width="9.85546875" style="301" bestFit="1" customWidth="1"/>
    <col min="6" max="6" width="12.85546875" style="301" customWidth="1"/>
    <col min="7" max="8" width="14.5703125" style="301" customWidth="1"/>
    <col min="9" max="9" width="10.7109375" style="301" customWidth="1"/>
    <col min="10" max="10" width="10.5703125" style="301" customWidth="1"/>
    <col min="11" max="11" width="10.28515625" style="301" customWidth="1"/>
    <col min="12" max="12" width="10.28515625" style="301"/>
    <col min="13" max="16384" width="10.28515625" style="306"/>
  </cols>
  <sheetData>
    <row r="1" spans="1:12" s="301" customFormat="1" x14ac:dyDescent="0.2">
      <c r="A1" s="1563" t="s">
        <v>1245</v>
      </c>
      <c r="B1" s="1563"/>
      <c r="C1" s="1563"/>
      <c r="D1" s="1563"/>
      <c r="E1" s="1563"/>
      <c r="F1" s="1563"/>
      <c r="G1" s="1563"/>
      <c r="H1" s="1563"/>
      <c r="I1" s="1563"/>
      <c r="J1" s="1563"/>
    </row>
    <row r="2" spans="1:12" s="301" customFormat="1" ht="14.1" customHeight="1" x14ac:dyDescent="0.2"/>
    <row r="3" spans="1:12" s="301" customFormat="1" ht="15" customHeight="1" x14ac:dyDescent="0.25">
      <c r="B3" s="1565" t="s">
        <v>78</v>
      </c>
      <c r="C3" s="1565"/>
      <c r="D3" s="1565"/>
      <c r="E3" s="1565"/>
      <c r="F3" s="1565"/>
      <c r="G3" s="1565"/>
      <c r="H3" s="1565"/>
      <c r="I3" s="1565"/>
      <c r="J3" s="1565"/>
    </row>
    <row r="4" spans="1:12" s="301" customFormat="1" ht="15" customHeight="1" x14ac:dyDescent="0.25">
      <c r="B4" s="1565" t="s">
        <v>1129</v>
      </c>
      <c r="C4" s="1565"/>
      <c r="D4" s="1565"/>
      <c r="E4" s="1565"/>
      <c r="F4" s="1565"/>
      <c r="G4" s="1565"/>
      <c r="H4" s="1565"/>
      <c r="I4" s="1565"/>
      <c r="J4" s="1565"/>
    </row>
    <row r="5" spans="1:12" s="301" customFormat="1" ht="15" customHeight="1" x14ac:dyDescent="0.25">
      <c r="B5" s="1565" t="s">
        <v>443</v>
      </c>
      <c r="C5" s="1565"/>
      <c r="D5" s="1565"/>
      <c r="E5" s="1565"/>
      <c r="F5" s="1565"/>
      <c r="G5" s="1565"/>
      <c r="H5" s="1565"/>
      <c r="I5" s="1565"/>
      <c r="J5" s="1565"/>
    </row>
    <row r="6" spans="1:12" s="301" customFormat="1" ht="15" customHeight="1" x14ac:dyDescent="0.25">
      <c r="B6" s="1565"/>
      <c r="C6" s="1565"/>
      <c r="D6" s="1565"/>
      <c r="E6" s="1565"/>
      <c r="F6" s="1565"/>
      <c r="G6" s="1565"/>
      <c r="H6" s="1565"/>
      <c r="I6" s="1565"/>
      <c r="J6" s="1565"/>
    </row>
    <row r="7" spans="1:12" s="301" customFormat="1" ht="15" customHeight="1" x14ac:dyDescent="0.25">
      <c r="B7" s="1573" t="s">
        <v>336</v>
      </c>
      <c r="C7" s="1573"/>
      <c r="D7" s="1573"/>
      <c r="E7" s="1573"/>
      <c r="F7" s="1573"/>
      <c r="G7" s="1573"/>
      <c r="H7" s="1573"/>
      <c r="I7" s="1573"/>
      <c r="J7" s="1573"/>
    </row>
    <row r="8" spans="1:12" s="302" customFormat="1" ht="14.1" customHeight="1" x14ac:dyDescent="0.25">
      <c r="A8" s="1564"/>
      <c r="B8" s="698" t="s">
        <v>57</v>
      </c>
      <c r="C8" s="698" t="s">
        <v>58</v>
      </c>
      <c r="D8" s="698" t="s">
        <v>59</v>
      </c>
      <c r="E8" s="698" t="s">
        <v>60</v>
      </c>
      <c r="F8" s="698" t="s">
        <v>499</v>
      </c>
      <c r="G8" s="698" t="s">
        <v>500</v>
      </c>
      <c r="H8" s="698" t="s">
        <v>501</v>
      </c>
      <c r="I8" s="698" t="s">
        <v>629</v>
      </c>
      <c r="J8" s="698" t="s">
        <v>640</v>
      </c>
    </row>
    <row r="9" spans="1:12" s="303" customFormat="1" ht="17.25" customHeight="1" x14ac:dyDescent="0.25">
      <c r="A9" s="1564"/>
      <c r="B9" s="1567" t="s">
        <v>86</v>
      </c>
      <c r="C9" s="1569" t="s">
        <v>444</v>
      </c>
      <c r="D9" s="1569" t="s">
        <v>1204</v>
      </c>
      <c r="E9" s="1567" t="s">
        <v>445</v>
      </c>
      <c r="F9" s="1571" t="s">
        <v>446</v>
      </c>
      <c r="G9" s="1567" t="s">
        <v>447</v>
      </c>
      <c r="H9" s="1569" t="s">
        <v>969</v>
      </c>
      <c r="I9" s="1566" t="s">
        <v>448</v>
      </c>
      <c r="J9" s="1566"/>
    </row>
    <row r="10" spans="1:12" s="303" customFormat="1" ht="30" customHeight="1" x14ac:dyDescent="0.25">
      <c r="A10" s="1564"/>
      <c r="B10" s="1568"/>
      <c r="C10" s="1570"/>
      <c r="D10" s="1570"/>
      <c r="E10" s="1568"/>
      <c r="F10" s="1572"/>
      <c r="G10" s="1568"/>
      <c r="H10" s="1570"/>
      <c r="I10" s="698" t="s">
        <v>449</v>
      </c>
      <c r="J10" s="698" t="s">
        <v>450</v>
      </c>
    </row>
    <row r="11" spans="1:12" s="302" customFormat="1" ht="16.5" customHeight="1" x14ac:dyDescent="0.25">
      <c r="A11" s="304" t="s">
        <v>508</v>
      </c>
      <c r="B11" s="309" t="s">
        <v>451</v>
      </c>
    </row>
    <row r="12" spans="1:12" s="302" customFormat="1" ht="15" customHeight="1" x14ac:dyDescent="0.25">
      <c r="A12" s="304" t="s">
        <v>516</v>
      </c>
      <c r="B12" s="302" t="s">
        <v>452</v>
      </c>
      <c r="C12" s="310"/>
      <c r="D12" s="310"/>
      <c r="E12" s="311"/>
      <c r="F12" s="311"/>
      <c r="G12" s="311"/>
      <c r="H12" s="310"/>
      <c r="I12" s="311"/>
      <c r="J12" s="311"/>
    </row>
    <row r="13" spans="1:12" s="302" customFormat="1" ht="15" customHeight="1" x14ac:dyDescent="0.25">
      <c r="A13" s="304" t="s">
        <v>517</v>
      </c>
      <c r="B13" s="312" t="s">
        <v>453</v>
      </c>
      <c r="C13" s="313">
        <v>500</v>
      </c>
      <c r="D13" s="314">
        <v>75</v>
      </c>
      <c r="E13" s="315" t="s">
        <v>454</v>
      </c>
      <c r="F13" s="315" t="s">
        <v>455</v>
      </c>
      <c r="G13" s="315" t="s">
        <v>455</v>
      </c>
      <c r="H13" s="314">
        <v>50</v>
      </c>
      <c r="I13" s="316">
        <v>0</v>
      </c>
      <c r="J13" s="315" t="s">
        <v>456</v>
      </c>
    </row>
    <row r="14" spans="1:12" s="303" customFormat="1" ht="15" customHeight="1" x14ac:dyDescent="0.25">
      <c r="A14" s="304" t="s">
        <v>518</v>
      </c>
      <c r="B14" s="312" t="s">
        <v>457</v>
      </c>
      <c r="C14" s="313">
        <v>25130</v>
      </c>
      <c r="D14" s="313">
        <v>15303</v>
      </c>
      <c r="E14" s="315" t="s">
        <v>454</v>
      </c>
      <c r="F14" s="315" t="s">
        <v>455</v>
      </c>
      <c r="G14" s="315" t="s">
        <v>455</v>
      </c>
      <c r="H14" s="313">
        <v>2508</v>
      </c>
      <c r="I14" s="316">
        <v>0</v>
      </c>
      <c r="J14" s="315" t="s">
        <v>456</v>
      </c>
    </row>
    <row r="15" spans="1:12" s="305" customFormat="1" ht="16.5" customHeight="1" x14ac:dyDescent="0.25">
      <c r="A15" s="304" t="s">
        <v>519</v>
      </c>
      <c r="B15" s="303" t="s">
        <v>458</v>
      </c>
      <c r="C15" s="317">
        <f>SUM(C13:C14)</f>
        <v>25630</v>
      </c>
      <c r="D15" s="317">
        <f>SUM(D13:D14)</f>
        <v>15378</v>
      </c>
      <c r="E15" s="318"/>
      <c r="F15" s="318"/>
      <c r="G15" s="318"/>
      <c r="H15" s="317">
        <f>SUM(H13:H14)</f>
        <v>2558</v>
      </c>
      <c r="I15" s="316"/>
      <c r="J15" s="315" t="s">
        <v>456</v>
      </c>
      <c r="K15" s="302"/>
      <c r="L15" s="302"/>
    </row>
  </sheetData>
  <mergeCells count="15">
    <mergeCell ref="A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IV100"/>
  <sheetViews>
    <sheetView topLeftCell="A31" workbookViewId="0">
      <selection activeCell="M16" sqref="M16"/>
    </sheetView>
  </sheetViews>
  <sheetFormatPr defaultColWidth="61.7109375" defaultRowHeight="12" x14ac:dyDescent="0.2"/>
  <cols>
    <col min="1" max="1" width="61.7109375" style="157" customWidth="1"/>
    <col min="2" max="2" width="9.85546875" style="157" hidden="1" customWidth="1"/>
    <col min="3" max="3" width="11.7109375" style="157" hidden="1" customWidth="1"/>
    <col min="4" max="4" width="9.85546875" style="157" hidden="1" customWidth="1"/>
    <col min="5" max="5" width="15.85546875" style="161" hidden="1" customWidth="1"/>
    <col min="6" max="6" width="16" style="4" customWidth="1"/>
    <col min="7" max="7" width="12.85546875" style="4" customWidth="1"/>
    <col min="8" max="8" width="10" style="4" bestFit="1" customWidth="1"/>
    <col min="9" max="9" width="11.42578125" style="4" bestFit="1" customWidth="1"/>
    <col min="10" max="10" width="10" style="4" bestFit="1" customWidth="1"/>
    <col min="11" max="12" width="11.42578125" style="4" bestFit="1" customWidth="1"/>
    <col min="13" max="14" width="8" style="4" customWidth="1"/>
    <col min="15" max="15" width="10.85546875" style="4" bestFit="1" customWidth="1"/>
    <col min="16" max="16" width="10.42578125" style="4" bestFit="1" customWidth="1"/>
    <col min="17" max="17" width="9.85546875" style="4" bestFit="1" customWidth="1"/>
    <col min="18" max="255" width="8" style="4" customWidth="1"/>
    <col min="256" max="16384" width="61.7109375" style="4"/>
  </cols>
  <sheetData>
    <row r="1" spans="1:256" ht="12.75" x14ac:dyDescent="0.2">
      <c r="A1" s="1323" t="s">
        <v>1229</v>
      </c>
      <c r="B1" s="1323"/>
      <c r="C1" s="1323"/>
      <c r="D1" s="1323"/>
      <c r="E1" s="1323"/>
      <c r="F1" s="1323"/>
      <c r="G1" s="1323"/>
      <c r="H1" s="1323"/>
      <c r="I1" s="1323"/>
    </row>
    <row r="2" spans="1:256" x14ac:dyDescent="0.2">
      <c r="F2" s="1333"/>
      <c r="G2" s="1333"/>
      <c r="H2" s="1333"/>
      <c r="I2" s="1333"/>
    </row>
    <row r="4" spans="1:256" ht="30" customHeight="1" x14ac:dyDescent="0.2">
      <c r="A4" s="1334" t="s">
        <v>78</v>
      </c>
      <c r="B4" s="1334"/>
      <c r="C4" s="1334"/>
      <c r="D4" s="1334"/>
      <c r="E4" s="1334"/>
      <c r="F4" s="1335"/>
      <c r="G4" s="1335"/>
      <c r="H4" s="1335"/>
      <c r="I4" s="1335"/>
    </row>
    <row r="5" spans="1:256" ht="33" customHeight="1" x14ac:dyDescent="0.2">
      <c r="A5" s="1334" t="s">
        <v>1137</v>
      </c>
      <c r="B5" s="1334"/>
      <c r="C5" s="1334"/>
      <c r="D5" s="1334"/>
      <c r="E5" s="1334"/>
      <c r="F5" s="1335"/>
      <c r="G5" s="1335"/>
      <c r="H5" s="1335"/>
      <c r="I5" s="1335"/>
    </row>
    <row r="7" spans="1:256" ht="13.5" thickBot="1" x14ac:dyDescent="0.25">
      <c r="E7" s="438" t="s">
        <v>20</v>
      </c>
      <c r="F7" s="687"/>
    </row>
    <row r="8" spans="1:256" ht="30.75" customHeight="1" thickBot="1" x14ac:dyDescent="0.25">
      <c r="A8" s="1326" t="s">
        <v>79</v>
      </c>
      <c r="B8" s="1328" t="s">
        <v>116</v>
      </c>
      <c r="C8" s="1329"/>
      <c r="D8" s="1329"/>
      <c r="E8" s="1329"/>
      <c r="F8" s="1330" t="s">
        <v>1090</v>
      </c>
      <c r="G8" s="1331"/>
      <c r="H8" s="1331"/>
      <c r="I8" s="1332"/>
    </row>
    <row r="9" spans="1:256" ht="36.75" thickBot="1" x14ac:dyDescent="0.25">
      <c r="A9" s="1327"/>
      <c r="B9" s="226" t="s">
        <v>80</v>
      </c>
      <c r="C9" s="158" t="s">
        <v>81</v>
      </c>
      <c r="D9" s="158" t="s">
        <v>722</v>
      </c>
      <c r="E9" s="227" t="s">
        <v>82</v>
      </c>
      <c r="F9" s="226" t="s">
        <v>80</v>
      </c>
      <c r="G9" s="158" t="s">
        <v>81</v>
      </c>
      <c r="H9" s="158" t="s">
        <v>722</v>
      </c>
      <c r="I9" s="227" t="s">
        <v>82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</row>
    <row r="10" spans="1:256" ht="12.75" x14ac:dyDescent="0.2">
      <c r="A10" s="450" t="s">
        <v>83</v>
      </c>
      <c r="B10" s="451"/>
      <c r="C10" s="451"/>
      <c r="D10" s="451"/>
      <c r="E10" s="451"/>
      <c r="F10" s="452"/>
      <c r="G10" s="452"/>
      <c r="H10" s="452"/>
      <c r="I10" s="452"/>
      <c r="J10" s="473"/>
    </row>
    <row r="11" spans="1:256" ht="12.75" x14ac:dyDescent="0.2">
      <c r="A11" s="445" t="s">
        <v>862</v>
      </c>
      <c r="B11" s="542"/>
      <c r="C11" s="542"/>
      <c r="D11" s="542"/>
      <c r="E11" s="542"/>
      <c r="F11" s="599"/>
      <c r="G11" s="599"/>
      <c r="H11" s="599"/>
      <c r="I11" s="599"/>
      <c r="J11" s="473"/>
    </row>
    <row r="12" spans="1:256" ht="36" x14ac:dyDescent="0.2">
      <c r="A12" s="539" t="s">
        <v>863</v>
      </c>
      <c r="B12" s="542">
        <v>4865</v>
      </c>
      <c r="C12" s="600">
        <v>18.690000000000001</v>
      </c>
      <c r="D12" s="542">
        <v>4580000</v>
      </c>
      <c r="E12" s="542">
        <f>C12*D12</f>
        <v>85600200</v>
      </c>
      <c r="F12" s="640" t="s">
        <v>1091</v>
      </c>
      <c r="G12" s="440">
        <v>18.32</v>
      </c>
      <c r="H12" s="440">
        <v>4580000</v>
      </c>
      <c r="I12" s="441">
        <f>G12*H12</f>
        <v>83905600</v>
      </c>
      <c r="J12" s="473"/>
    </row>
    <row r="13" spans="1:256" ht="12.75" x14ac:dyDescent="0.2">
      <c r="A13" s="445" t="s">
        <v>864</v>
      </c>
      <c r="B13" s="542"/>
      <c r="C13" s="542"/>
      <c r="D13" s="542"/>
      <c r="E13" s="542"/>
      <c r="F13" s="499"/>
      <c r="G13" s="547"/>
      <c r="H13" s="547"/>
      <c r="I13" s="499"/>
      <c r="J13" s="473"/>
    </row>
    <row r="14" spans="1:256" ht="12.75" x14ac:dyDescent="0.2">
      <c r="A14" s="539" t="s">
        <v>865</v>
      </c>
      <c r="B14" s="542"/>
      <c r="C14" s="551"/>
      <c r="D14" s="542" t="s">
        <v>313</v>
      </c>
      <c r="E14" s="542">
        <v>8328800</v>
      </c>
      <c r="F14" s="499"/>
      <c r="G14" s="547"/>
      <c r="H14" s="440" t="s">
        <v>313</v>
      </c>
      <c r="I14" s="441">
        <v>8329050</v>
      </c>
      <c r="J14" s="473"/>
    </row>
    <row r="15" spans="1:256" ht="12.75" x14ac:dyDescent="0.2">
      <c r="A15" s="539" t="s">
        <v>866</v>
      </c>
      <c r="B15" s="442"/>
      <c r="C15" s="443"/>
      <c r="D15" s="442"/>
      <c r="E15" s="442"/>
      <c r="F15" s="441"/>
      <c r="G15" s="440"/>
      <c r="H15" s="440"/>
      <c r="I15" s="441">
        <v>-8329050</v>
      </c>
      <c r="J15" s="473"/>
    </row>
    <row r="16" spans="1:256" ht="24" x14ac:dyDescent="0.2">
      <c r="A16" s="539" t="s">
        <v>867</v>
      </c>
      <c r="B16" s="442"/>
      <c r="C16" s="443"/>
      <c r="D16" s="442"/>
      <c r="E16" s="442"/>
      <c r="F16" s="441"/>
      <c r="G16" s="440"/>
      <c r="H16" s="440"/>
      <c r="I16" s="441">
        <f>I14+I15</f>
        <v>0</v>
      </c>
      <c r="J16" s="473"/>
    </row>
    <row r="17" spans="1:10" ht="12.75" x14ac:dyDescent="0.2">
      <c r="A17" s="445" t="s">
        <v>868</v>
      </c>
      <c r="B17" s="542"/>
      <c r="C17" s="542"/>
      <c r="D17" s="603" t="s">
        <v>314</v>
      </c>
      <c r="E17" s="542">
        <v>18272000</v>
      </c>
      <c r="F17" s="499"/>
      <c r="G17" s="547"/>
      <c r="H17" s="440" t="s">
        <v>315</v>
      </c>
      <c r="I17" s="441">
        <v>18304000</v>
      </c>
      <c r="J17" s="473"/>
    </row>
    <row r="18" spans="1:10" ht="12.75" x14ac:dyDescent="0.2">
      <c r="A18" s="445" t="s">
        <v>866</v>
      </c>
      <c r="B18" s="442"/>
      <c r="C18" s="442"/>
      <c r="D18" s="541"/>
      <c r="E18" s="442"/>
      <c r="F18" s="441"/>
      <c r="G18" s="440"/>
      <c r="H18" s="440"/>
      <c r="I18" s="441">
        <v>-18304000</v>
      </c>
      <c r="J18" s="473"/>
    </row>
    <row r="19" spans="1:10" ht="12.75" x14ac:dyDescent="0.2">
      <c r="A19" s="445" t="s">
        <v>869</v>
      </c>
      <c r="B19" s="442"/>
      <c r="C19" s="442"/>
      <c r="D19" s="541"/>
      <c r="E19" s="442"/>
      <c r="F19" s="441"/>
      <c r="G19" s="440"/>
      <c r="H19" s="440"/>
      <c r="I19" s="441">
        <f>I17+I18</f>
        <v>0</v>
      </c>
      <c r="J19" s="473"/>
    </row>
    <row r="20" spans="1:10" ht="12.75" x14ac:dyDescent="0.2">
      <c r="A20" s="445" t="s">
        <v>870</v>
      </c>
      <c r="B20" s="542"/>
      <c r="C20" s="542" t="s">
        <v>871</v>
      </c>
      <c r="D20" s="543" t="s">
        <v>723</v>
      </c>
      <c r="E20" s="542">
        <v>1355022</v>
      </c>
      <c r="F20" s="499"/>
      <c r="G20" s="542"/>
      <c r="H20" s="544" t="s">
        <v>723</v>
      </c>
      <c r="I20" s="441">
        <v>1355022</v>
      </c>
      <c r="J20" s="473"/>
    </row>
    <row r="21" spans="1:10" ht="12.75" x14ac:dyDescent="0.2">
      <c r="A21" s="445" t="s">
        <v>872</v>
      </c>
      <c r="B21" s="442"/>
      <c r="C21" s="442"/>
      <c r="D21" s="544"/>
      <c r="E21" s="442"/>
      <c r="F21" s="441"/>
      <c r="G21" s="442"/>
      <c r="H21" s="544"/>
      <c r="I21" s="441">
        <v>-1355022</v>
      </c>
      <c r="J21" s="473"/>
    </row>
    <row r="22" spans="1:10" ht="12.75" x14ac:dyDescent="0.2">
      <c r="A22" s="445" t="s">
        <v>873</v>
      </c>
      <c r="B22" s="442"/>
      <c r="C22" s="442"/>
      <c r="D22" s="544"/>
      <c r="E22" s="442"/>
      <c r="F22" s="441"/>
      <c r="G22" s="442"/>
      <c r="H22" s="544"/>
      <c r="I22" s="441">
        <f>I20+I21</f>
        <v>0</v>
      </c>
      <c r="J22" s="473"/>
    </row>
    <row r="23" spans="1:10" ht="12.75" x14ac:dyDescent="0.2">
      <c r="A23" s="445" t="s">
        <v>874</v>
      </c>
      <c r="B23" s="542"/>
      <c r="C23" s="551"/>
      <c r="D23" s="603" t="s">
        <v>724</v>
      </c>
      <c r="E23" s="542">
        <v>6369620</v>
      </c>
      <c r="F23" s="499"/>
      <c r="G23" s="547"/>
      <c r="H23" s="541" t="s">
        <v>724</v>
      </c>
      <c r="I23" s="441">
        <v>6369620</v>
      </c>
      <c r="J23" s="473"/>
    </row>
    <row r="24" spans="1:10" ht="12.75" x14ac:dyDescent="0.2">
      <c r="A24" s="445" t="s">
        <v>872</v>
      </c>
      <c r="B24" s="442"/>
      <c r="C24" s="443"/>
      <c r="D24" s="541"/>
      <c r="E24" s="442"/>
      <c r="F24" s="441"/>
      <c r="G24" s="440"/>
      <c r="H24" s="541"/>
      <c r="I24" s="441">
        <v>-6369620</v>
      </c>
      <c r="J24" s="473"/>
    </row>
    <row r="25" spans="1:10" ht="12.75" x14ac:dyDescent="0.2">
      <c r="A25" s="445" t="s">
        <v>875</v>
      </c>
      <c r="B25" s="442"/>
      <c r="C25" s="443"/>
      <c r="D25" s="541"/>
      <c r="E25" s="442"/>
      <c r="F25" s="441"/>
      <c r="G25" s="440"/>
      <c r="H25" s="541"/>
      <c r="I25" s="441">
        <f>I23+I24</f>
        <v>0</v>
      </c>
      <c r="J25" s="473"/>
    </row>
    <row r="26" spans="1:10" ht="12.75" x14ac:dyDescent="0.2">
      <c r="A26" s="445" t="s">
        <v>876</v>
      </c>
      <c r="B26" s="542">
        <v>4865</v>
      </c>
      <c r="C26" s="542"/>
      <c r="D26" s="542">
        <v>2700</v>
      </c>
      <c r="E26" s="542">
        <f>B26*D26</f>
        <v>13135500</v>
      </c>
      <c r="F26" s="441">
        <v>4705</v>
      </c>
      <c r="G26" s="547"/>
      <c r="H26" s="442">
        <v>2700</v>
      </c>
      <c r="I26" s="441">
        <f>F26*H26</f>
        <v>12703500</v>
      </c>
      <c r="J26" s="473"/>
    </row>
    <row r="27" spans="1:10" ht="12.75" x14ac:dyDescent="0.2">
      <c r="A27" s="445" t="s">
        <v>877</v>
      </c>
      <c r="B27" s="442"/>
      <c r="C27" s="442"/>
      <c r="D27" s="442"/>
      <c r="E27" s="442">
        <v>-13135500</v>
      </c>
      <c r="F27" s="441"/>
      <c r="G27" s="440"/>
      <c r="H27" s="440"/>
      <c r="I27" s="441">
        <v>-12703500</v>
      </c>
      <c r="J27" s="473"/>
    </row>
    <row r="28" spans="1:10" ht="12.75" x14ac:dyDescent="0.2">
      <c r="A28" s="445" t="s">
        <v>878</v>
      </c>
      <c r="B28" s="442"/>
      <c r="C28" s="442"/>
      <c r="D28" s="442"/>
      <c r="E28" s="442">
        <f>E26+E27</f>
        <v>0</v>
      </c>
      <c r="F28" s="441"/>
      <c r="G28" s="440"/>
      <c r="H28" s="440"/>
      <c r="I28" s="441">
        <f>I26+I27</f>
        <v>0</v>
      </c>
      <c r="J28" s="473"/>
    </row>
    <row r="29" spans="1:10" ht="12.75" x14ac:dyDescent="0.2">
      <c r="A29" s="445" t="s">
        <v>879</v>
      </c>
      <c r="B29" s="542">
        <v>10</v>
      </c>
      <c r="C29" s="542"/>
      <c r="D29" s="542" t="s">
        <v>316</v>
      </c>
      <c r="E29" s="545">
        <v>25500</v>
      </c>
      <c r="F29" s="441">
        <v>21</v>
      </c>
      <c r="G29" s="547"/>
      <c r="H29" s="442" t="s">
        <v>316</v>
      </c>
      <c r="I29" s="441">
        <v>53550</v>
      </c>
      <c r="J29" s="473"/>
    </row>
    <row r="30" spans="1:10" ht="12.75" x14ac:dyDescent="0.2">
      <c r="A30" s="445" t="s">
        <v>880</v>
      </c>
      <c r="B30" s="442"/>
      <c r="C30" s="442"/>
      <c r="D30" s="442"/>
      <c r="E30" s="442">
        <v>-25500</v>
      </c>
      <c r="F30" s="441"/>
      <c r="G30" s="440"/>
      <c r="H30" s="440"/>
      <c r="I30" s="441">
        <v>-53550</v>
      </c>
      <c r="J30" s="473"/>
    </row>
    <row r="31" spans="1:10" ht="12.75" x14ac:dyDescent="0.2">
      <c r="A31" s="445" t="s">
        <v>881</v>
      </c>
      <c r="B31" s="542"/>
      <c r="C31" s="542"/>
      <c r="D31" s="542"/>
      <c r="E31" s="545">
        <v>0</v>
      </c>
      <c r="F31" s="499"/>
      <c r="G31" s="547"/>
      <c r="H31" s="547"/>
      <c r="I31" s="441">
        <f>I29+I30</f>
        <v>0</v>
      </c>
      <c r="J31" s="473"/>
    </row>
    <row r="32" spans="1:10" ht="12.75" x14ac:dyDescent="0.2">
      <c r="A32" s="602" t="s">
        <v>991</v>
      </c>
      <c r="B32" s="542"/>
      <c r="C32" s="542">
        <v>487729000</v>
      </c>
      <c r="D32" s="551">
        <v>1.55</v>
      </c>
      <c r="E32" s="542">
        <f>C32*D32</f>
        <v>755979950</v>
      </c>
      <c r="F32" s="499"/>
      <c r="G32" s="441">
        <v>540752027</v>
      </c>
      <c r="H32" s="443">
        <v>1</v>
      </c>
      <c r="I32" s="441">
        <f>G32*H32</f>
        <v>540752027</v>
      </c>
      <c r="J32" s="473"/>
    </row>
    <row r="33" spans="1:18" ht="12.75" x14ac:dyDescent="0.2">
      <c r="A33" s="445" t="s">
        <v>877</v>
      </c>
      <c r="B33" s="442"/>
      <c r="C33" s="442"/>
      <c r="D33" s="446"/>
      <c r="E33" s="442">
        <v>-98054262</v>
      </c>
      <c r="F33" s="441"/>
      <c r="G33" s="440"/>
      <c r="H33" s="440"/>
      <c r="I33" s="441">
        <v>-76318159</v>
      </c>
      <c r="J33" s="473"/>
    </row>
    <row r="34" spans="1:18" ht="12.75" x14ac:dyDescent="0.2">
      <c r="A34" s="445" t="s">
        <v>883</v>
      </c>
      <c r="B34" s="542"/>
      <c r="C34" s="542"/>
      <c r="D34" s="556"/>
      <c r="E34" s="542">
        <f>E32+E33</f>
        <v>657925688</v>
      </c>
      <c r="F34" s="499"/>
      <c r="G34" s="547"/>
      <c r="H34" s="547"/>
      <c r="I34" s="441">
        <f>I32+I33</f>
        <v>464433868</v>
      </c>
      <c r="J34" s="473"/>
    </row>
    <row r="35" spans="1:18" ht="12.75" x14ac:dyDescent="0.2">
      <c r="A35" s="546" t="s">
        <v>1092</v>
      </c>
      <c r="B35" s="542"/>
      <c r="C35" s="542"/>
      <c r="D35" s="542"/>
      <c r="E35" s="542">
        <v>0</v>
      </c>
      <c r="F35" s="499"/>
      <c r="G35" s="547"/>
      <c r="H35" s="547"/>
      <c r="I35" s="499">
        <v>0</v>
      </c>
      <c r="J35" s="473"/>
      <c r="K35" s="548">
        <f>I12+I16+I19+I25+I28+I31+I34+I35</f>
        <v>548339468</v>
      </c>
      <c r="L35" s="4" t="s">
        <v>959</v>
      </c>
    </row>
    <row r="36" spans="1:18" ht="24" x14ac:dyDescent="0.2">
      <c r="A36" s="539" t="s">
        <v>1093</v>
      </c>
      <c r="B36" s="542"/>
      <c r="C36" s="542"/>
      <c r="D36" s="542"/>
      <c r="E36" s="542"/>
      <c r="F36" s="499"/>
      <c r="G36" s="547"/>
      <c r="H36" s="547"/>
      <c r="I36" s="441">
        <v>0</v>
      </c>
      <c r="J36" s="473"/>
      <c r="K36" s="548"/>
    </row>
    <row r="37" spans="1:18" ht="12.75" x14ac:dyDescent="0.2">
      <c r="A37" s="546"/>
      <c r="B37" s="542"/>
      <c r="C37" s="542"/>
      <c r="D37" s="542"/>
      <c r="E37" s="542"/>
      <c r="F37" s="499"/>
      <c r="G37" s="547"/>
      <c r="H37" s="547"/>
      <c r="I37" s="499"/>
      <c r="J37" s="473"/>
      <c r="K37" s="548"/>
    </row>
    <row r="38" spans="1:18" ht="12.75" x14ac:dyDescent="0.2">
      <c r="A38" s="549" t="s">
        <v>84</v>
      </c>
      <c r="B38" s="542"/>
      <c r="C38" s="542"/>
      <c r="D38" s="542"/>
      <c r="E38" s="542"/>
      <c r="F38" s="499"/>
      <c r="G38" s="547"/>
      <c r="H38" s="547"/>
      <c r="I38" s="499"/>
      <c r="J38" s="473"/>
    </row>
    <row r="39" spans="1:18" ht="24" x14ac:dyDescent="0.2">
      <c r="A39" s="539" t="s">
        <v>885</v>
      </c>
      <c r="B39" s="542"/>
      <c r="C39" s="542"/>
      <c r="D39" s="542"/>
      <c r="E39" s="542"/>
      <c r="F39" s="499"/>
      <c r="G39" s="547"/>
      <c r="H39" s="547"/>
      <c r="I39" s="499"/>
      <c r="J39" s="473"/>
    </row>
    <row r="40" spans="1:18" ht="12.75" x14ac:dyDescent="0.2">
      <c r="A40" s="539" t="s">
        <v>886</v>
      </c>
      <c r="B40" s="542"/>
      <c r="C40" s="551">
        <v>13.1</v>
      </c>
      <c r="D40" s="542">
        <v>4152000</v>
      </c>
      <c r="E40" s="542">
        <f>C40*D40*8/12</f>
        <v>36260800</v>
      </c>
      <c r="F40" s="663" t="s">
        <v>1138</v>
      </c>
      <c r="G40" s="604">
        <v>12.5</v>
      </c>
      <c r="H40" s="656">
        <v>4419000</v>
      </c>
      <c r="I40" s="441">
        <f>G40*8/12*4419000</f>
        <v>36825000</v>
      </c>
      <c r="J40" s="473"/>
    </row>
    <row r="41" spans="1:18" ht="12.75" x14ac:dyDescent="0.2">
      <c r="A41" s="539" t="s">
        <v>887</v>
      </c>
      <c r="B41" s="542"/>
      <c r="C41" s="551">
        <v>13.1</v>
      </c>
      <c r="D41" s="552">
        <v>4152000</v>
      </c>
      <c r="E41" s="542">
        <f>C41*D41*4/12</f>
        <v>18130400</v>
      </c>
      <c r="F41" s="663" t="s">
        <v>1138</v>
      </c>
      <c r="G41" s="550">
        <v>12.5</v>
      </c>
      <c r="H41" s="656">
        <v>4419000</v>
      </c>
      <c r="I41" s="441">
        <f>G41*4/12*H41</f>
        <v>18412500</v>
      </c>
      <c r="J41" s="473"/>
    </row>
    <row r="42" spans="1:18" ht="24" x14ac:dyDescent="0.2">
      <c r="A42" s="539" t="s">
        <v>888</v>
      </c>
      <c r="B42" s="542"/>
      <c r="C42" s="542">
        <v>10</v>
      </c>
      <c r="D42" s="542">
        <v>1800000</v>
      </c>
      <c r="E42" s="545">
        <f>C42*D42*8/12</f>
        <v>12000000</v>
      </c>
      <c r="F42" s="601"/>
      <c r="G42" s="550">
        <v>9</v>
      </c>
      <c r="H42" s="656">
        <v>2205000</v>
      </c>
      <c r="I42" s="441">
        <f>G42*H42*8/12</f>
        <v>13230000</v>
      </c>
      <c r="J42" s="473"/>
    </row>
    <row r="43" spans="1:18" ht="24" x14ac:dyDescent="0.2">
      <c r="A43" s="539" t="s">
        <v>992</v>
      </c>
      <c r="B43" s="542"/>
      <c r="C43" s="542"/>
      <c r="D43" s="542"/>
      <c r="E43" s="545"/>
      <c r="F43" s="499"/>
      <c r="G43" s="550">
        <v>0</v>
      </c>
      <c r="H43" s="656">
        <v>4419000</v>
      </c>
      <c r="I43" s="441">
        <f>G43*H43*8/12</f>
        <v>0</v>
      </c>
      <c r="J43" s="473"/>
    </row>
    <row r="44" spans="1:18" ht="24" x14ac:dyDescent="0.2">
      <c r="A44" s="539" t="s">
        <v>890</v>
      </c>
      <c r="B44" s="542"/>
      <c r="C44" s="542">
        <v>10</v>
      </c>
      <c r="D44" s="542">
        <v>1800000</v>
      </c>
      <c r="E44" s="542">
        <f>C44*D44*4/12</f>
        <v>6000000</v>
      </c>
      <c r="F44" s="499"/>
      <c r="G44" s="550">
        <v>9</v>
      </c>
      <c r="H44" s="656">
        <v>2205000</v>
      </c>
      <c r="I44" s="441">
        <f>G44*H44*4/12</f>
        <v>6615000</v>
      </c>
      <c r="J44" s="474"/>
    </row>
    <row r="45" spans="1:18" ht="39" x14ac:dyDescent="0.2">
      <c r="A45" s="539" t="s">
        <v>993</v>
      </c>
      <c r="B45" s="542"/>
      <c r="C45" s="542"/>
      <c r="D45" s="542"/>
      <c r="E45" s="542"/>
      <c r="F45" s="499"/>
      <c r="G45" s="550">
        <v>0</v>
      </c>
      <c r="H45" s="656">
        <v>4419000</v>
      </c>
      <c r="I45" s="441">
        <f>G45*H45*4/12</f>
        <v>0</v>
      </c>
      <c r="J45" s="474"/>
      <c r="K45" s="645" t="s">
        <v>960</v>
      </c>
      <c r="L45" s="548">
        <f>I12+I14+I17+I20+I23+I26+I29+I32</f>
        <v>671772369</v>
      </c>
      <c r="N45" s="646" t="s">
        <v>1139</v>
      </c>
      <c r="O45" s="548">
        <v>123432901</v>
      </c>
      <c r="P45" s="548">
        <f>I15+I18+I21+I24+I27+I30</f>
        <v>-47114742</v>
      </c>
      <c r="Q45" s="548">
        <f>O45+P45</f>
        <v>76318159</v>
      </c>
      <c r="R45" s="646" t="s">
        <v>961</v>
      </c>
    </row>
    <row r="46" spans="1:18" ht="12.75" x14ac:dyDescent="0.2">
      <c r="A46" s="445" t="s">
        <v>893</v>
      </c>
      <c r="B46" s="542"/>
      <c r="C46" s="542"/>
      <c r="D46" s="542"/>
      <c r="E46" s="542"/>
      <c r="F46" s="499"/>
      <c r="G46" s="547"/>
      <c r="H46" s="547"/>
      <c r="I46" s="499"/>
      <c r="J46" s="473"/>
    </row>
    <row r="47" spans="1:18" ht="24" x14ac:dyDescent="0.2">
      <c r="A47" s="539" t="s">
        <v>994</v>
      </c>
      <c r="B47" s="542"/>
      <c r="C47" s="542">
        <v>142</v>
      </c>
      <c r="D47" s="542">
        <v>70000</v>
      </c>
      <c r="E47" s="542">
        <f>C47*D47*8/12</f>
        <v>6626666.666666667</v>
      </c>
      <c r="F47" s="640"/>
      <c r="G47" s="441">
        <v>138</v>
      </c>
      <c r="H47" s="442">
        <v>81700</v>
      </c>
      <c r="I47" s="441">
        <f>G47*H47*8/12</f>
        <v>7516400</v>
      </c>
      <c r="J47" s="473"/>
    </row>
    <row r="48" spans="1:18" ht="24" x14ac:dyDescent="0.2">
      <c r="A48" s="539" t="s">
        <v>995</v>
      </c>
      <c r="B48" s="542"/>
      <c r="C48" s="542"/>
      <c r="D48" s="542"/>
      <c r="E48" s="542"/>
      <c r="F48" s="640"/>
      <c r="G48" s="441">
        <v>0</v>
      </c>
      <c r="H48" s="442">
        <v>80000</v>
      </c>
      <c r="I48" s="441">
        <v>0</v>
      </c>
      <c r="J48" s="473"/>
    </row>
    <row r="49" spans="1:12" ht="24" x14ac:dyDescent="0.2">
      <c r="A49" s="539" t="s">
        <v>942</v>
      </c>
      <c r="B49" s="542"/>
      <c r="C49" s="542">
        <v>142</v>
      </c>
      <c r="D49" s="542">
        <v>70000</v>
      </c>
      <c r="E49" s="542">
        <f>C49*D49*4/12</f>
        <v>3313333.3333333335</v>
      </c>
      <c r="F49" s="601"/>
      <c r="G49" s="441">
        <v>138</v>
      </c>
      <c r="H49" s="442">
        <v>81700</v>
      </c>
      <c r="I49" s="441">
        <f>G49*H49*4/12</f>
        <v>3758200</v>
      </c>
      <c r="J49" s="473"/>
    </row>
    <row r="50" spans="1:12" ht="24" x14ac:dyDescent="0.2">
      <c r="A50" s="539" t="s">
        <v>996</v>
      </c>
      <c r="B50" s="542"/>
      <c r="C50" s="542"/>
      <c r="D50" s="542"/>
      <c r="E50" s="542"/>
      <c r="F50" s="601"/>
      <c r="G50" s="441">
        <v>0</v>
      </c>
      <c r="H50" s="442">
        <v>80000</v>
      </c>
      <c r="I50" s="441">
        <v>0</v>
      </c>
      <c r="J50" s="473"/>
    </row>
    <row r="51" spans="1:12" ht="12.75" x14ac:dyDescent="0.2">
      <c r="A51" s="445" t="s">
        <v>943</v>
      </c>
      <c r="B51" s="542"/>
      <c r="C51" s="542"/>
      <c r="D51" s="542"/>
      <c r="E51" s="542"/>
      <c r="F51" s="499"/>
      <c r="G51" s="547"/>
      <c r="H51" s="547"/>
      <c r="I51" s="499"/>
      <c r="J51" s="473"/>
    </row>
    <row r="52" spans="1:12" ht="48" x14ac:dyDescent="0.2">
      <c r="A52" s="539" t="s">
        <v>1094</v>
      </c>
      <c r="B52" s="542"/>
      <c r="C52" s="542">
        <v>5</v>
      </c>
      <c r="D52" s="605" t="s">
        <v>317</v>
      </c>
      <c r="E52" s="542">
        <v>1760000</v>
      </c>
      <c r="F52" s="499"/>
      <c r="G52" s="440">
        <v>4</v>
      </c>
      <c r="H52" s="441">
        <v>401000</v>
      </c>
      <c r="I52" s="441">
        <f>G52*H52</f>
        <v>1604000</v>
      </c>
      <c r="J52" s="473"/>
    </row>
    <row r="53" spans="1:12" ht="48" x14ac:dyDescent="0.2">
      <c r="A53" s="539" t="s">
        <v>1095</v>
      </c>
      <c r="B53" s="542"/>
      <c r="C53" s="542"/>
      <c r="D53" s="542"/>
      <c r="E53" s="542"/>
      <c r="F53" s="499"/>
      <c r="G53" s="440">
        <v>0</v>
      </c>
      <c r="H53" s="441">
        <v>367583</v>
      </c>
      <c r="I53" s="441">
        <f>G53*H53</f>
        <v>0</v>
      </c>
      <c r="J53" s="473"/>
      <c r="K53" s="548">
        <f>SUM(I40:I53)</f>
        <v>87961100</v>
      </c>
      <c r="L53" s="4" t="s">
        <v>962</v>
      </c>
    </row>
    <row r="54" spans="1:12" ht="12.75" x14ac:dyDescent="0.2">
      <c r="A54" s="539"/>
      <c r="B54" s="542"/>
      <c r="C54" s="542"/>
      <c r="D54" s="542"/>
      <c r="E54" s="542"/>
      <c r="F54" s="499"/>
      <c r="G54" s="547"/>
      <c r="H54" s="547"/>
      <c r="I54" s="499"/>
      <c r="J54" s="473"/>
      <c r="K54" s="548"/>
    </row>
    <row r="55" spans="1:12" ht="12.75" x14ac:dyDescent="0.2">
      <c r="A55" s="549" t="s">
        <v>85</v>
      </c>
      <c r="B55" s="542"/>
      <c r="C55" s="542"/>
      <c r="D55" s="542"/>
      <c r="E55" s="542"/>
      <c r="F55" s="499"/>
      <c r="G55" s="547"/>
      <c r="H55" s="547"/>
      <c r="I55" s="499"/>
      <c r="J55" s="473"/>
    </row>
    <row r="56" spans="1:12" ht="12.75" x14ac:dyDescent="0.2">
      <c r="A56" s="546" t="s">
        <v>1096</v>
      </c>
      <c r="B56" s="542"/>
      <c r="C56" s="542"/>
      <c r="D56" s="542"/>
      <c r="E56" s="542">
        <v>0</v>
      </c>
      <c r="F56" s="499"/>
      <c r="G56" s="547"/>
      <c r="H56" s="547"/>
      <c r="I56" s="441">
        <v>0</v>
      </c>
      <c r="J56" s="475"/>
    </row>
    <row r="57" spans="1:12" ht="24" x14ac:dyDescent="0.2">
      <c r="A57" s="539" t="s">
        <v>903</v>
      </c>
      <c r="B57" s="542"/>
      <c r="C57" s="542"/>
      <c r="D57" s="542"/>
      <c r="E57" s="545">
        <v>0</v>
      </c>
      <c r="F57" s="499"/>
      <c r="G57" s="547"/>
      <c r="H57" s="547"/>
      <c r="I57" s="441">
        <v>0</v>
      </c>
      <c r="J57" s="473"/>
    </row>
    <row r="58" spans="1:12" ht="12.75" x14ac:dyDescent="0.2">
      <c r="A58" s="445" t="s">
        <v>904</v>
      </c>
      <c r="B58" s="542"/>
      <c r="C58" s="542"/>
      <c r="D58" s="542"/>
      <c r="E58" s="542"/>
      <c r="F58" s="499"/>
      <c r="G58" s="547"/>
      <c r="H58" s="547"/>
      <c r="I58" s="499"/>
      <c r="J58" s="473"/>
    </row>
    <row r="59" spans="1:12" ht="12.75" x14ac:dyDescent="0.2">
      <c r="A59" s="445" t="s">
        <v>905</v>
      </c>
      <c r="B59" s="542"/>
      <c r="C59" s="542"/>
      <c r="D59" s="542"/>
      <c r="E59" s="542"/>
      <c r="F59" s="499"/>
      <c r="G59" s="547"/>
      <c r="H59" s="547"/>
      <c r="I59" s="499"/>
      <c r="J59" s="473"/>
    </row>
    <row r="60" spans="1:12" ht="12.75" x14ac:dyDescent="0.2">
      <c r="A60" s="445" t="s">
        <v>906</v>
      </c>
      <c r="B60" s="542"/>
      <c r="C60" s="542"/>
      <c r="D60" s="542"/>
      <c r="E60" s="542"/>
      <c r="F60" s="499"/>
      <c r="G60" s="547"/>
      <c r="H60" s="547"/>
      <c r="I60" s="499"/>
      <c r="J60" s="473"/>
    </row>
    <row r="61" spans="1:12" ht="36" x14ac:dyDescent="0.2">
      <c r="A61" s="553" t="s">
        <v>1097</v>
      </c>
      <c r="B61" s="546"/>
      <c r="C61" s="555"/>
      <c r="D61" s="542"/>
      <c r="E61" s="542">
        <f>C61*D61/2</f>
        <v>0</v>
      </c>
      <c r="F61" s="442">
        <v>7822</v>
      </c>
      <c r="G61" s="556"/>
      <c r="H61" s="547"/>
      <c r="I61" s="499"/>
      <c r="J61" s="475"/>
    </row>
    <row r="62" spans="1:12" ht="24" x14ac:dyDescent="0.2">
      <c r="A62" s="539" t="s">
        <v>944</v>
      </c>
      <c r="B62" s="542"/>
      <c r="C62" s="546"/>
      <c r="D62" s="542"/>
      <c r="E62" s="542"/>
      <c r="F62" s="499"/>
      <c r="G62" s="447">
        <v>0</v>
      </c>
      <c r="H62" s="547"/>
      <c r="I62" s="499"/>
      <c r="J62" s="475"/>
    </row>
    <row r="63" spans="1:12" ht="12.75" x14ac:dyDescent="0.2">
      <c r="A63" s="445" t="s">
        <v>945</v>
      </c>
      <c r="B63" s="542"/>
      <c r="C63" s="546"/>
      <c r="D63" s="542"/>
      <c r="E63" s="542"/>
      <c r="F63" s="499"/>
      <c r="G63" s="446">
        <v>1</v>
      </c>
      <c r="H63" s="547"/>
      <c r="I63" s="499"/>
      <c r="J63" s="473"/>
    </row>
    <row r="64" spans="1:12" ht="12.75" x14ac:dyDescent="0.2">
      <c r="A64" s="445" t="s">
        <v>910</v>
      </c>
      <c r="B64" s="542"/>
      <c r="C64" s="557">
        <v>0.97299999999999998</v>
      </c>
      <c r="D64" s="542">
        <v>3000000</v>
      </c>
      <c r="E64" s="542"/>
      <c r="F64" s="499"/>
      <c r="G64" s="446">
        <v>2</v>
      </c>
      <c r="H64" s="657">
        <v>3400000</v>
      </c>
      <c r="I64" s="661">
        <f>(2*1+0)*3400000</f>
        <v>6800000</v>
      </c>
      <c r="J64" s="473"/>
    </row>
    <row r="65" spans="1:12" ht="12.75" x14ac:dyDescent="0.2">
      <c r="A65" s="445" t="s">
        <v>911</v>
      </c>
      <c r="B65" s="558"/>
      <c r="C65" s="542">
        <v>80</v>
      </c>
      <c r="D65" s="542">
        <v>55360</v>
      </c>
      <c r="E65" s="542">
        <f>C65*D65</f>
        <v>4428800</v>
      </c>
      <c r="F65" s="601"/>
      <c r="G65" s="442">
        <v>80</v>
      </c>
      <c r="H65" s="442">
        <v>55360</v>
      </c>
      <c r="I65" s="442">
        <f>G65*H65</f>
        <v>4428800</v>
      </c>
      <c r="J65" s="473"/>
    </row>
    <row r="66" spans="1:12" ht="12.75" x14ac:dyDescent="0.2">
      <c r="A66" s="445" t="s">
        <v>912</v>
      </c>
      <c r="B66" s="558"/>
      <c r="C66" s="542">
        <v>55</v>
      </c>
      <c r="D66" s="542">
        <v>145000</v>
      </c>
      <c r="E66" s="542">
        <f>C66*D66</f>
        <v>7975000</v>
      </c>
      <c r="F66" s="499"/>
      <c r="G66" s="542"/>
      <c r="H66" s="542"/>
      <c r="I66" s="542"/>
      <c r="J66" s="473"/>
    </row>
    <row r="67" spans="1:12" ht="12.75" x14ac:dyDescent="0.2">
      <c r="A67" s="445" t="s">
        <v>946</v>
      </c>
      <c r="B67" s="558"/>
      <c r="C67" s="542"/>
      <c r="D67" s="542"/>
      <c r="E67" s="542"/>
      <c r="F67" s="601"/>
      <c r="G67" s="442">
        <v>5</v>
      </c>
      <c r="H67" s="442">
        <v>25000</v>
      </c>
      <c r="I67" s="442">
        <f>G67*H67</f>
        <v>125000</v>
      </c>
      <c r="J67" s="473"/>
    </row>
    <row r="68" spans="1:12" ht="12.75" x14ac:dyDescent="0.2">
      <c r="A68" s="445" t="s">
        <v>947</v>
      </c>
      <c r="B68" s="558"/>
      <c r="C68" s="542"/>
      <c r="D68" s="542"/>
      <c r="E68" s="542"/>
      <c r="F68" s="601"/>
      <c r="G68" s="442">
        <v>49</v>
      </c>
      <c r="H68" s="657">
        <v>330000</v>
      </c>
      <c r="I68" s="667">
        <f>G68*H68</f>
        <v>16170000</v>
      </c>
      <c r="J68" s="473"/>
    </row>
    <row r="69" spans="1:12" ht="12.75" x14ac:dyDescent="0.2">
      <c r="A69" s="539" t="s">
        <v>948</v>
      </c>
      <c r="B69" s="606"/>
      <c r="C69" s="442">
        <v>23</v>
      </c>
      <c r="D69" s="442">
        <v>109000</v>
      </c>
      <c r="E69" s="442">
        <f>C69*D69</f>
        <v>2507000</v>
      </c>
      <c r="F69" s="441"/>
      <c r="G69" s="442">
        <v>25</v>
      </c>
      <c r="H69" s="442">
        <v>109000</v>
      </c>
      <c r="I69" s="442">
        <f>G69*H69</f>
        <v>2725000</v>
      </c>
      <c r="J69" s="473"/>
    </row>
    <row r="70" spans="1:12" ht="12.75" x14ac:dyDescent="0.2">
      <c r="A70" s="539" t="s">
        <v>914</v>
      </c>
      <c r="B70" s="606"/>
      <c r="C70" s="442"/>
      <c r="D70" s="442"/>
      <c r="E70" s="442"/>
      <c r="F70" s="441"/>
      <c r="G70" s="440"/>
      <c r="H70" s="440"/>
      <c r="I70" s="441"/>
      <c r="J70" s="473"/>
    </row>
    <row r="71" spans="1:12" ht="24" x14ac:dyDescent="0.2">
      <c r="A71" s="539" t="s">
        <v>1098</v>
      </c>
      <c r="B71" s="558"/>
      <c r="C71" s="542"/>
      <c r="D71" s="542"/>
      <c r="E71" s="542"/>
      <c r="F71" s="499"/>
      <c r="G71" s="547"/>
      <c r="H71" s="547"/>
      <c r="I71" s="499"/>
      <c r="J71" s="473"/>
    </row>
    <row r="72" spans="1:12" ht="24" x14ac:dyDescent="0.2">
      <c r="A72" s="553" t="s">
        <v>963</v>
      </c>
      <c r="B72" s="558"/>
      <c r="C72" s="542">
        <v>15</v>
      </c>
      <c r="D72" s="542">
        <v>2606040</v>
      </c>
      <c r="E72" s="542">
        <f>C72*D72</f>
        <v>39090600</v>
      </c>
      <c r="F72" s="601"/>
      <c r="G72" s="442">
        <v>15</v>
      </c>
      <c r="H72" s="657">
        <v>2848000</v>
      </c>
      <c r="I72" s="442">
        <f>G72*H72</f>
        <v>42720000</v>
      </c>
      <c r="J72" s="473"/>
    </row>
    <row r="73" spans="1:12" ht="12.75" x14ac:dyDescent="0.2">
      <c r="A73" s="445" t="s">
        <v>919</v>
      </c>
      <c r="B73" s="558"/>
      <c r="C73" s="542"/>
      <c r="D73" s="542"/>
      <c r="E73" s="545">
        <v>37834000</v>
      </c>
      <c r="F73" s="601"/>
      <c r="G73" s="547"/>
      <c r="H73" s="547"/>
      <c r="I73" s="661">
        <v>36824000</v>
      </c>
      <c r="J73" s="477"/>
    </row>
    <row r="74" spans="1:12" ht="12.75" x14ac:dyDescent="0.2">
      <c r="A74" s="445" t="s">
        <v>1100</v>
      </c>
      <c r="B74" s="558"/>
      <c r="C74" s="542"/>
      <c r="D74" s="542"/>
      <c r="E74" s="542"/>
      <c r="F74" s="499"/>
      <c r="G74" s="547"/>
      <c r="H74" s="547"/>
      <c r="I74" s="499"/>
      <c r="J74" s="473"/>
    </row>
    <row r="75" spans="1:12" ht="12.75" x14ac:dyDescent="0.2">
      <c r="A75" s="445" t="s">
        <v>1101</v>
      </c>
      <c r="B75" s="542"/>
      <c r="C75" s="551">
        <v>12.33</v>
      </c>
      <c r="D75" s="542">
        <v>1632000</v>
      </c>
      <c r="E75" s="542">
        <f>C75*D75</f>
        <v>20122560</v>
      </c>
      <c r="F75" s="688" t="s">
        <v>1140</v>
      </c>
      <c r="G75" s="443">
        <v>14.4</v>
      </c>
      <c r="H75" s="657">
        <v>1900000</v>
      </c>
      <c r="I75" s="442">
        <f>G75*H75</f>
        <v>27360000</v>
      </c>
      <c r="J75" s="478"/>
    </row>
    <row r="76" spans="1:12" ht="12.75" x14ac:dyDescent="0.2">
      <c r="A76" s="445" t="s">
        <v>1102</v>
      </c>
      <c r="B76" s="542"/>
      <c r="C76" s="542"/>
      <c r="D76" s="542"/>
      <c r="E76" s="545">
        <v>7038795</v>
      </c>
      <c r="F76" s="601"/>
      <c r="G76" s="547"/>
      <c r="H76" s="547"/>
      <c r="I76" s="661">
        <v>23121669</v>
      </c>
      <c r="J76" s="479"/>
    </row>
    <row r="77" spans="1:12" ht="24" x14ac:dyDescent="0.2">
      <c r="A77" s="539" t="s">
        <v>1103</v>
      </c>
      <c r="B77" s="542"/>
      <c r="C77" s="542"/>
      <c r="D77" s="542"/>
      <c r="E77" s="545"/>
      <c r="F77" s="601"/>
      <c r="G77" s="441">
        <v>0</v>
      </c>
      <c r="H77" s="441">
        <v>285</v>
      </c>
      <c r="I77" s="441">
        <f>G77*H77</f>
        <v>0</v>
      </c>
      <c r="J77" s="473"/>
    </row>
    <row r="78" spans="1:12" ht="12.75" x14ac:dyDescent="0.2">
      <c r="A78" s="539" t="s">
        <v>1104</v>
      </c>
      <c r="B78" s="542"/>
      <c r="C78" s="542"/>
      <c r="D78" s="542"/>
      <c r="E78" s="561"/>
      <c r="F78" s="601"/>
      <c r="G78" s="604"/>
      <c r="H78" s="441"/>
      <c r="I78" s="441"/>
      <c r="J78" s="473"/>
      <c r="K78" s="548">
        <f>SUM(I56:I82)</f>
        <v>174499869</v>
      </c>
      <c r="L78" s="4" t="s">
        <v>964</v>
      </c>
    </row>
    <row r="79" spans="1:12" ht="12.75" x14ac:dyDescent="0.2">
      <c r="A79" s="539" t="s">
        <v>1105</v>
      </c>
      <c r="B79" s="542"/>
      <c r="C79" s="542"/>
      <c r="D79" s="542"/>
      <c r="E79" s="561"/>
      <c r="F79" s="601"/>
      <c r="G79" s="604"/>
      <c r="H79" s="441"/>
      <c r="I79" s="441"/>
      <c r="J79" s="473"/>
      <c r="K79" s="548"/>
    </row>
    <row r="80" spans="1:12" ht="36" x14ac:dyDescent="0.2">
      <c r="A80" s="539" t="s">
        <v>1108</v>
      </c>
      <c r="B80" s="542"/>
      <c r="C80" s="542"/>
      <c r="D80" s="542"/>
      <c r="E80" s="561"/>
      <c r="F80" s="640" t="s">
        <v>1109</v>
      </c>
      <c r="G80" s="604">
        <v>2</v>
      </c>
      <c r="H80" s="441">
        <v>4419000</v>
      </c>
      <c r="I80" s="441">
        <f>G80*H80</f>
        <v>8838000</v>
      </c>
      <c r="J80" s="473"/>
      <c r="K80" s="548"/>
    </row>
    <row r="81" spans="1:14" ht="36" x14ac:dyDescent="0.2">
      <c r="A81" s="539" t="s">
        <v>1178</v>
      </c>
      <c r="B81" s="542"/>
      <c r="C81" s="542"/>
      <c r="D81" s="542"/>
      <c r="E81" s="561"/>
      <c r="F81" s="640" t="s">
        <v>1107</v>
      </c>
      <c r="G81" s="604">
        <v>1.8</v>
      </c>
      <c r="H81" s="441">
        <v>2993000</v>
      </c>
      <c r="I81" s="441">
        <f>G81*H81</f>
        <v>5387400</v>
      </c>
      <c r="J81" s="473"/>
      <c r="K81" s="548"/>
    </row>
    <row r="82" spans="1:14" ht="24" x14ac:dyDescent="0.2">
      <c r="A82" s="539" t="s">
        <v>1110</v>
      </c>
      <c r="B82" s="542"/>
      <c r="C82" s="542"/>
      <c r="D82" s="542"/>
      <c r="E82" s="561"/>
      <c r="F82" s="601"/>
      <c r="G82" s="604"/>
      <c r="H82" s="441">
        <v>0</v>
      </c>
      <c r="I82" s="441">
        <v>0</v>
      </c>
      <c r="J82" s="473"/>
      <c r="K82" s="548"/>
    </row>
    <row r="83" spans="1:14" ht="12.75" x14ac:dyDescent="0.2">
      <c r="A83" s="539"/>
      <c r="B83" s="542"/>
      <c r="C83" s="542"/>
      <c r="D83" s="542"/>
      <c r="E83" s="561"/>
      <c r="F83" s="601"/>
      <c r="G83" s="604"/>
      <c r="H83" s="441"/>
      <c r="I83" s="441"/>
      <c r="J83" s="473"/>
      <c r="K83" s="548"/>
    </row>
    <row r="84" spans="1:14" ht="12.75" x14ac:dyDescent="0.2">
      <c r="A84" s="445" t="s">
        <v>925</v>
      </c>
      <c r="B84" s="542"/>
      <c r="C84" s="542"/>
      <c r="D84" s="542"/>
      <c r="E84" s="561"/>
      <c r="F84" s="499"/>
      <c r="G84" s="547"/>
      <c r="H84" s="547"/>
      <c r="I84" s="499"/>
      <c r="J84" s="473"/>
    </row>
    <row r="85" spans="1:14" ht="12.75" x14ac:dyDescent="0.2">
      <c r="A85" s="445" t="s">
        <v>926</v>
      </c>
      <c r="B85" s="542"/>
      <c r="C85" s="542"/>
      <c r="D85" s="542"/>
      <c r="E85" s="561"/>
      <c r="F85" s="499"/>
      <c r="G85" s="547"/>
      <c r="H85" s="547"/>
      <c r="I85" s="499"/>
      <c r="J85" s="473"/>
    </row>
    <row r="86" spans="1:14" ht="12.75" x14ac:dyDescent="0.2">
      <c r="A86" s="445" t="s">
        <v>927</v>
      </c>
      <c r="B86" s="542"/>
      <c r="C86" s="542">
        <v>4865</v>
      </c>
      <c r="D86" s="542">
        <v>1140</v>
      </c>
      <c r="E86" s="562"/>
      <c r="F86" s="499"/>
      <c r="G86" s="442">
        <v>4705</v>
      </c>
      <c r="H86" s="657">
        <v>1210</v>
      </c>
      <c r="I86" s="229">
        <f>G86*H86</f>
        <v>5693050</v>
      </c>
      <c r="J86" s="473"/>
    </row>
    <row r="87" spans="1:14" ht="48" x14ac:dyDescent="0.2">
      <c r="A87" s="539" t="s">
        <v>928</v>
      </c>
      <c r="B87" s="542"/>
      <c r="C87" s="542"/>
      <c r="D87" s="542"/>
      <c r="E87" s="562"/>
      <c r="F87" s="640" t="s">
        <v>1111</v>
      </c>
      <c r="G87" s="542"/>
      <c r="H87" s="542"/>
      <c r="I87" s="229">
        <v>0</v>
      </c>
      <c r="J87" s="473"/>
    </row>
    <row r="88" spans="1:14" ht="48" x14ac:dyDescent="0.2">
      <c r="A88" s="539" t="s">
        <v>1112</v>
      </c>
      <c r="B88" s="542"/>
      <c r="C88" s="542"/>
      <c r="D88" s="542"/>
      <c r="E88" s="562"/>
      <c r="F88" s="640" t="s">
        <v>1113</v>
      </c>
      <c r="G88" s="542"/>
      <c r="H88" s="542"/>
      <c r="I88" s="229">
        <v>0</v>
      </c>
      <c r="J88" s="473"/>
    </row>
    <row r="89" spans="1:14" ht="12.75" x14ac:dyDescent="0.2">
      <c r="A89" s="553" t="s">
        <v>1114</v>
      </c>
      <c r="B89" s="558"/>
      <c r="C89" s="542"/>
      <c r="D89" s="556"/>
      <c r="E89" s="542"/>
      <c r="F89" s="499"/>
      <c r="G89" s="547"/>
      <c r="H89" s="547"/>
      <c r="I89" s="499"/>
      <c r="J89" s="473"/>
      <c r="K89" s="548">
        <f>SUM(I86+I87)</f>
        <v>5693050</v>
      </c>
      <c r="L89" s="4" t="s">
        <v>965</v>
      </c>
    </row>
    <row r="90" spans="1:14" ht="24" x14ac:dyDescent="0.2">
      <c r="A90" s="563" t="s">
        <v>1115</v>
      </c>
      <c r="B90" s="607"/>
      <c r="C90" s="608"/>
      <c r="D90" s="442"/>
      <c r="E90" s="442"/>
      <c r="F90" s="609"/>
      <c r="G90" s="440"/>
      <c r="H90" s="440"/>
      <c r="I90" s="499"/>
      <c r="J90" s="473"/>
      <c r="K90" s="548"/>
      <c r="L90" s="548">
        <f>I15+I18+I21+I24+I27+I30+I33</f>
        <v>-123432901</v>
      </c>
      <c r="M90" s="610" t="s">
        <v>966</v>
      </c>
      <c r="N90" s="228"/>
    </row>
    <row r="91" spans="1:14" ht="12.75" x14ac:dyDescent="0.2">
      <c r="A91" s="588" t="s">
        <v>1116</v>
      </c>
      <c r="B91" s="611"/>
      <c r="C91" s="612"/>
      <c r="D91" s="613"/>
      <c r="E91" s="613"/>
      <c r="F91" s="614"/>
      <c r="G91" s="615"/>
      <c r="H91" s="615"/>
      <c r="I91" s="616">
        <v>0</v>
      </c>
      <c r="J91" s="473"/>
      <c r="K91" s="548"/>
      <c r="L91" s="548"/>
      <c r="M91" s="610"/>
      <c r="N91" s="228"/>
    </row>
    <row r="92" spans="1:14" ht="12.75" x14ac:dyDescent="0.2">
      <c r="A92" s="588"/>
      <c r="B92" s="611"/>
      <c r="C92" s="612"/>
      <c r="D92" s="613"/>
      <c r="E92" s="613"/>
      <c r="F92" s="611"/>
      <c r="G92" s="615"/>
      <c r="H92" s="615"/>
      <c r="I92" s="569"/>
      <c r="J92" s="473"/>
      <c r="K92" s="548"/>
      <c r="L92" s="548"/>
      <c r="N92" s="228"/>
    </row>
    <row r="93" spans="1:14" ht="12.75" x14ac:dyDescent="0.2">
      <c r="A93" s="588" t="s">
        <v>949</v>
      </c>
      <c r="B93" s="611"/>
      <c r="C93" s="612"/>
      <c r="D93" s="613"/>
      <c r="E93" s="613"/>
      <c r="F93" s="611"/>
      <c r="G93" s="615"/>
      <c r="H93" s="615"/>
      <c r="I93" s="569"/>
      <c r="J93" s="473"/>
      <c r="K93" s="548"/>
      <c r="L93" s="548"/>
      <c r="N93" s="228"/>
    </row>
    <row r="94" spans="1:14" ht="12.75" x14ac:dyDescent="0.2">
      <c r="A94" s="588" t="s">
        <v>950</v>
      </c>
      <c r="B94" s="611"/>
      <c r="C94" s="612"/>
      <c r="D94" s="613"/>
      <c r="E94" s="613"/>
      <c r="F94" s="611"/>
      <c r="G94" s="615"/>
      <c r="H94" s="615"/>
      <c r="I94" s="616">
        <v>0</v>
      </c>
      <c r="J94" s="473"/>
      <c r="K94" s="548"/>
      <c r="L94" s="548"/>
      <c r="N94" s="228"/>
    </row>
    <row r="95" spans="1:14" ht="12.75" x14ac:dyDescent="0.2">
      <c r="A95" s="589" t="s">
        <v>951</v>
      </c>
      <c r="B95" s="611"/>
      <c r="C95" s="612"/>
      <c r="D95" s="613"/>
      <c r="E95" s="613"/>
      <c r="F95" s="611"/>
      <c r="G95" s="615"/>
      <c r="H95" s="615"/>
      <c r="I95" s="616">
        <v>0</v>
      </c>
      <c r="J95" s="473"/>
      <c r="K95" s="548">
        <f>I94+I95</f>
        <v>0</v>
      </c>
      <c r="L95" s="548" t="s">
        <v>967</v>
      </c>
      <c r="N95" s="228"/>
    </row>
    <row r="96" spans="1:14" ht="13.5" thickBot="1" x14ac:dyDescent="0.25">
      <c r="A96" s="565"/>
      <c r="B96" s="566"/>
      <c r="C96" s="567"/>
      <c r="D96" s="568"/>
      <c r="E96" s="567"/>
      <c r="F96" s="569"/>
      <c r="G96" s="570"/>
      <c r="H96" s="570"/>
      <c r="I96" s="569"/>
      <c r="J96" s="473"/>
    </row>
    <row r="97" spans="1:256" ht="12.75" thickBot="1" x14ac:dyDescent="0.25">
      <c r="A97" s="571" t="s">
        <v>930</v>
      </c>
      <c r="B97" s="572"/>
      <c r="C97" s="572"/>
      <c r="D97" s="573"/>
      <c r="E97" s="574" t="e">
        <f>E12+E14+E17+E20+E23+E28+E31+E34+E40+E41+#REF!+E42+E44+E47+E49+E52+E56+E57+E61+E62+E65+E66+E69+#REF!+E72+E73+E75+E76</f>
        <v>#REF!</v>
      </c>
      <c r="F97" s="1324">
        <f>I12+I16+I19+I22+I25+I28+I31+I34+I35+I36+I40+I41+I42+I43+I44+I45+I47+I48+I49+I50+I52+I53+I56+I57+I64+I65+I67+I68+I69+I72+I73+I75+I76+I77+I80+I81+I82+I86+I87+I88+I94+I95+I91</f>
        <v>816493487</v>
      </c>
      <c r="G97" s="1324"/>
      <c r="H97" s="1324"/>
      <c r="I97" s="1325"/>
      <c r="J97" s="5"/>
      <c r="K97" s="575">
        <f>K78+K53+K35+K89</f>
        <v>816493487</v>
      </c>
      <c r="L97" s="617" t="s">
        <v>968</v>
      </c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</row>
    <row r="99" spans="1:256" ht="15.75" x14ac:dyDescent="0.2">
      <c r="A99" s="618"/>
      <c r="B99" s="619"/>
      <c r="C99" s="619"/>
      <c r="D99" s="619"/>
      <c r="E99" s="620"/>
      <c r="F99" s="621"/>
      <c r="G99" s="621"/>
      <c r="H99" s="621"/>
      <c r="I99" s="621"/>
    </row>
    <row r="100" spans="1:256" ht="12.75" x14ac:dyDescent="0.2">
      <c r="A100" s="658" t="s">
        <v>1162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42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57" customWidth="1"/>
    <col min="2" max="2" width="9.85546875" style="157" hidden="1" customWidth="1"/>
    <col min="3" max="3" width="11.7109375" style="157" hidden="1" customWidth="1"/>
    <col min="4" max="4" width="9.85546875" style="157" hidden="1" customWidth="1"/>
    <col min="5" max="5" width="15.85546875" style="161" hidden="1" customWidth="1"/>
    <col min="6" max="6" width="16" style="4" customWidth="1"/>
    <col min="7" max="7" width="12.85546875" style="4" customWidth="1"/>
    <col min="8" max="8" width="10" style="4" bestFit="1" customWidth="1"/>
    <col min="9" max="9" width="11.42578125" style="4" bestFit="1" customWidth="1"/>
    <col min="10" max="10" width="10" style="4" bestFit="1" customWidth="1"/>
    <col min="11" max="12" width="11.42578125" style="4" bestFit="1" customWidth="1"/>
    <col min="13" max="255" width="8" style="4" customWidth="1"/>
    <col min="256" max="16384" width="61.7109375" style="4"/>
  </cols>
  <sheetData>
    <row r="1" spans="1:10" ht="12.75" x14ac:dyDescent="0.2">
      <c r="B1" s="1323" t="s">
        <v>312</v>
      </c>
      <c r="C1" s="1323"/>
      <c r="D1" s="1323"/>
      <c r="E1" s="1323"/>
    </row>
    <row r="2" spans="1:10" x14ac:dyDescent="0.2">
      <c r="F2" s="1336"/>
      <c r="G2" s="1336"/>
      <c r="H2" s="1336"/>
      <c r="I2" s="1336"/>
    </row>
    <row r="4" spans="1:10" ht="12.75" x14ac:dyDescent="0.2">
      <c r="A4" s="1334" t="s">
        <v>78</v>
      </c>
      <c r="B4" s="1334"/>
      <c r="C4" s="1334"/>
      <c r="D4" s="1334"/>
      <c r="E4" s="1334"/>
      <c r="F4" s="1335"/>
      <c r="G4" s="1335"/>
      <c r="H4" s="1335"/>
      <c r="I4" s="1335"/>
    </row>
    <row r="5" spans="1:10" ht="12.75" x14ac:dyDescent="0.2">
      <c r="A5" s="1334" t="s">
        <v>941</v>
      </c>
      <c r="B5" s="1334"/>
      <c r="C5" s="1334"/>
      <c r="D5" s="1334"/>
      <c r="E5" s="1334"/>
      <c r="F5" s="1335"/>
      <c r="G5" s="1335"/>
      <c r="H5" s="1335"/>
      <c r="I5" s="1335"/>
    </row>
    <row r="7" spans="1:10" ht="13.5" thickBot="1" x14ac:dyDescent="0.25">
      <c r="E7" s="438" t="s">
        <v>20</v>
      </c>
      <c r="F7" s="449"/>
    </row>
    <row r="8" spans="1:10" ht="12.75" customHeight="1" thickBot="1" x14ac:dyDescent="0.25">
      <c r="A8" s="1326" t="s">
        <v>79</v>
      </c>
      <c r="B8" s="1328" t="s">
        <v>116</v>
      </c>
      <c r="C8" s="1329"/>
      <c r="D8" s="1329"/>
      <c r="E8" s="1329"/>
      <c r="F8" s="1328" t="s">
        <v>952</v>
      </c>
      <c r="G8" s="1329"/>
      <c r="H8" s="1329"/>
      <c r="I8" s="1329"/>
    </row>
    <row r="9" spans="1:10" s="5" customFormat="1" ht="49.5" customHeight="1" thickBot="1" x14ac:dyDescent="0.25">
      <c r="A9" s="1327"/>
      <c r="B9" s="226" t="s">
        <v>80</v>
      </c>
      <c r="C9" s="158" t="s">
        <v>81</v>
      </c>
      <c r="D9" s="158" t="s">
        <v>722</v>
      </c>
      <c r="E9" s="227" t="s">
        <v>82</v>
      </c>
      <c r="F9" s="226" t="s">
        <v>80</v>
      </c>
      <c r="G9" s="158" t="s">
        <v>81</v>
      </c>
      <c r="H9" s="158" t="s">
        <v>722</v>
      </c>
      <c r="I9" s="227" t="s">
        <v>82</v>
      </c>
    </row>
    <row r="10" spans="1:10" ht="13.5" customHeight="1" x14ac:dyDescent="0.2">
      <c r="A10" s="450" t="s">
        <v>83</v>
      </c>
      <c r="B10" s="451"/>
      <c r="C10" s="451"/>
      <c r="D10" s="451"/>
      <c r="E10" s="451"/>
      <c r="F10" s="452"/>
      <c r="G10" s="452"/>
      <c r="H10" s="452"/>
      <c r="I10" s="452"/>
      <c r="J10" s="473"/>
    </row>
    <row r="11" spans="1:10" ht="13.5" customHeight="1" x14ac:dyDescent="0.2">
      <c r="A11" s="159" t="s">
        <v>862</v>
      </c>
      <c r="B11" s="160"/>
      <c r="C11" s="160"/>
      <c r="D11" s="160"/>
      <c r="E11" s="160"/>
      <c r="F11" s="439"/>
      <c r="G11" s="439"/>
      <c r="H11" s="439"/>
      <c r="I11" s="439"/>
      <c r="J11" s="473"/>
    </row>
    <row r="12" spans="1:10" ht="30.75" customHeight="1" x14ac:dyDescent="0.2">
      <c r="A12" s="539" t="s">
        <v>863</v>
      </c>
      <c r="B12" s="442">
        <v>4865</v>
      </c>
      <c r="C12" s="540">
        <v>18.690000000000001</v>
      </c>
      <c r="D12" s="442">
        <v>4580000</v>
      </c>
      <c r="E12" s="442">
        <f>C12*D12</f>
        <v>85600200</v>
      </c>
      <c r="F12" s="441">
        <v>4837</v>
      </c>
      <c r="G12" s="440">
        <v>18.62</v>
      </c>
      <c r="H12" s="440">
        <v>4580000</v>
      </c>
      <c r="I12" s="441">
        <f>G12*H12</f>
        <v>85279600</v>
      </c>
      <c r="J12" s="473"/>
    </row>
    <row r="13" spans="1:10" ht="13.5" customHeight="1" x14ac:dyDescent="0.2">
      <c r="A13" s="445" t="s">
        <v>864</v>
      </c>
      <c r="B13" s="442"/>
      <c r="C13" s="442"/>
      <c r="D13" s="442"/>
      <c r="E13" s="442"/>
      <c r="F13" s="441"/>
      <c r="G13" s="440"/>
      <c r="H13" s="440"/>
      <c r="I13" s="441"/>
      <c r="J13" s="473"/>
    </row>
    <row r="14" spans="1:10" ht="30" customHeight="1" x14ac:dyDescent="0.2">
      <c r="A14" s="539" t="s">
        <v>865</v>
      </c>
      <c r="B14" s="442"/>
      <c r="C14" s="443"/>
      <c r="D14" s="442" t="s">
        <v>313</v>
      </c>
      <c r="E14" s="442">
        <v>8328800</v>
      </c>
      <c r="F14" s="441"/>
      <c r="G14" s="440"/>
      <c r="H14" s="440" t="s">
        <v>313</v>
      </c>
      <c r="I14" s="441">
        <v>8329050</v>
      </c>
      <c r="J14" s="473"/>
    </row>
    <row r="15" spans="1:10" ht="30" customHeight="1" x14ac:dyDescent="0.2">
      <c r="A15" s="539" t="s">
        <v>866</v>
      </c>
      <c r="B15" s="442"/>
      <c r="C15" s="443"/>
      <c r="D15" s="442"/>
      <c r="E15" s="442"/>
      <c r="F15" s="441"/>
      <c r="G15" s="440"/>
      <c r="H15" s="440"/>
      <c r="I15" s="441">
        <v>-8329050</v>
      </c>
      <c r="J15" s="473"/>
    </row>
    <row r="16" spans="1:10" ht="30" customHeight="1" x14ac:dyDescent="0.2">
      <c r="A16" s="539" t="s">
        <v>867</v>
      </c>
      <c r="B16" s="442"/>
      <c r="C16" s="443"/>
      <c r="D16" s="442"/>
      <c r="E16" s="442"/>
      <c r="F16" s="441"/>
      <c r="G16" s="440"/>
      <c r="H16" s="440"/>
      <c r="I16" s="441">
        <f>I14+I15</f>
        <v>0</v>
      </c>
      <c r="J16" s="473"/>
    </row>
    <row r="17" spans="1:10" ht="16.5" customHeight="1" x14ac:dyDescent="0.2">
      <c r="A17" s="445" t="s">
        <v>868</v>
      </c>
      <c r="B17" s="442"/>
      <c r="C17" s="442"/>
      <c r="D17" s="541" t="s">
        <v>314</v>
      </c>
      <c r="E17" s="442">
        <v>18272000</v>
      </c>
      <c r="F17" s="441"/>
      <c r="G17" s="440"/>
      <c r="H17" s="440" t="s">
        <v>315</v>
      </c>
      <c r="I17" s="441">
        <v>18304000</v>
      </c>
      <c r="J17" s="473"/>
    </row>
    <row r="18" spans="1:10" ht="16.5" customHeight="1" x14ac:dyDescent="0.2">
      <c r="A18" s="445" t="s">
        <v>866</v>
      </c>
      <c r="B18" s="442"/>
      <c r="C18" s="442"/>
      <c r="D18" s="541"/>
      <c r="E18" s="442"/>
      <c r="F18" s="441"/>
      <c r="G18" s="440"/>
      <c r="H18" s="440"/>
      <c r="I18" s="441">
        <v>-18304000</v>
      </c>
      <c r="J18" s="473"/>
    </row>
    <row r="19" spans="1:10" ht="16.5" customHeight="1" x14ac:dyDescent="0.2">
      <c r="A19" s="445" t="s">
        <v>869</v>
      </c>
      <c r="B19" s="442"/>
      <c r="C19" s="442"/>
      <c r="D19" s="541"/>
      <c r="E19" s="442"/>
      <c r="F19" s="441"/>
      <c r="G19" s="440"/>
      <c r="H19" s="440"/>
      <c r="I19" s="441">
        <f>I17+I18</f>
        <v>0</v>
      </c>
      <c r="J19" s="473"/>
    </row>
    <row r="20" spans="1:10" ht="13.5" customHeight="1" x14ac:dyDescent="0.2">
      <c r="A20" s="445" t="s">
        <v>870</v>
      </c>
      <c r="B20" s="542"/>
      <c r="C20" s="542" t="s">
        <v>871</v>
      </c>
      <c r="D20" s="543" t="s">
        <v>723</v>
      </c>
      <c r="E20" s="542">
        <v>1355022</v>
      </c>
      <c r="F20" s="499"/>
      <c r="G20" s="542"/>
      <c r="H20" s="544" t="s">
        <v>723</v>
      </c>
      <c r="I20" s="441">
        <v>1355022</v>
      </c>
      <c r="J20" s="473"/>
    </row>
    <row r="21" spans="1:10" ht="13.5" customHeight="1" x14ac:dyDescent="0.2">
      <c r="A21" s="445" t="s">
        <v>872</v>
      </c>
      <c r="B21" s="542"/>
      <c r="C21" s="542"/>
      <c r="D21" s="543"/>
      <c r="E21" s="542"/>
      <c r="F21" s="499"/>
      <c r="G21" s="542"/>
      <c r="H21" s="544"/>
      <c r="I21" s="441">
        <v>-1355022</v>
      </c>
      <c r="J21" s="473"/>
    </row>
    <row r="22" spans="1:10" ht="13.5" customHeight="1" x14ac:dyDescent="0.2">
      <c r="A22" s="445" t="s">
        <v>873</v>
      </c>
      <c r="B22" s="542"/>
      <c r="C22" s="542"/>
      <c r="D22" s="543"/>
      <c r="E22" s="542"/>
      <c r="F22" s="499"/>
      <c r="G22" s="542"/>
      <c r="H22" s="544"/>
      <c r="I22" s="441">
        <f>I20+I21</f>
        <v>0</v>
      </c>
      <c r="J22" s="473"/>
    </row>
    <row r="23" spans="1:10" ht="13.5" customHeight="1" x14ac:dyDescent="0.2">
      <c r="A23" s="445" t="s">
        <v>874</v>
      </c>
      <c r="B23" s="442"/>
      <c r="C23" s="443"/>
      <c r="D23" s="541" t="s">
        <v>724</v>
      </c>
      <c r="E23" s="442">
        <v>6369620</v>
      </c>
      <c r="F23" s="441"/>
      <c r="G23" s="440"/>
      <c r="H23" s="541" t="s">
        <v>724</v>
      </c>
      <c r="I23" s="441">
        <v>6369620</v>
      </c>
      <c r="J23" s="473"/>
    </row>
    <row r="24" spans="1:10" ht="13.5" customHeight="1" x14ac:dyDescent="0.2">
      <c r="A24" s="445" t="s">
        <v>872</v>
      </c>
      <c r="B24" s="442"/>
      <c r="C24" s="443"/>
      <c r="D24" s="541"/>
      <c r="E24" s="442"/>
      <c r="F24" s="441"/>
      <c r="G24" s="440"/>
      <c r="H24" s="541"/>
      <c r="I24" s="441">
        <v>-6369620</v>
      </c>
      <c r="J24" s="473"/>
    </row>
    <row r="25" spans="1:10" ht="13.5" customHeight="1" x14ac:dyDescent="0.2">
      <c r="A25" s="445" t="s">
        <v>875</v>
      </c>
      <c r="B25" s="442"/>
      <c r="C25" s="443"/>
      <c r="D25" s="541"/>
      <c r="E25" s="442"/>
      <c r="F25" s="441"/>
      <c r="G25" s="440"/>
      <c r="H25" s="541"/>
      <c r="I25" s="441">
        <f>I23+I24</f>
        <v>0</v>
      </c>
      <c r="J25" s="473"/>
    </row>
    <row r="26" spans="1:10" ht="13.5" customHeight="1" x14ac:dyDescent="0.2">
      <c r="A26" s="445" t="s">
        <v>876</v>
      </c>
      <c r="B26" s="442">
        <v>4865</v>
      </c>
      <c r="C26" s="442"/>
      <c r="D26" s="442">
        <v>2700</v>
      </c>
      <c r="E26" s="442">
        <f>B26*D26</f>
        <v>13135500</v>
      </c>
      <c r="F26" s="441">
        <v>4837</v>
      </c>
      <c r="G26" s="440"/>
      <c r="H26" s="442">
        <v>2700</v>
      </c>
      <c r="I26" s="441">
        <f>F26*H26</f>
        <v>13059900</v>
      </c>
      <c r="J26" s="473"/>
    </row>
    <row r="27" spans="1:10" ht="13.5" customHeight="1" x14ac:dyDescent="0.2">
      <c r="A27" s="445" t="s">
        <v>877</v>
      </c>
      <c r="B27" s="442"/>
      <c r="C27" s="442"/>
      <c r="D27" s="442"/>
      <c r="E27" s="442">
        <v>-13135500</v>
      </c>
      <c r="F27" s="441"/>
      <c r="G27" s="440"/>
      <c r="H27" s="440"/>
      <c r="I27" s="441">
        <v>-13059900</v>
      </c>
      <c r="J27" s="473"/>
    </row>
    <row r="28" spans="1:10" ht="13.5" customHeight="1" x14ac:dyDescent="0.2">
      <c r="A28" s="445" t="s">
        <v>878</v>
      </c>
      <c r="B28" s="442"/>
      <c r="C28" s="442"/>
      <c r="D28" s="442"/>
      <c r="E28" s="442">
        <f>E26+E27</f>
        <v>0</v>
      </c>
      <c r="F28" s="441"/>
      <c r="G28" s="440"/>
      <c r="H28" s="440"/>
      <c r="I28" s="441">
        <f>I26+I27</f>
        <v>0</v>
      </c>
      <c r="J28" s="473"/>
    </row>
    <row r="29" spans="1:10" ht="13.5" customHeight="1" x14ac:dyDescent="0.2">
      <c r="A29" s="445" t="s">
        <v>879</v>
      </c>
      <c r="B29" s="542">
        <v>10</v>
      </c>
      <c r="C29" s="542"/>
      <c r="D29" s="542" t="s">
        <v>316</v>
      </c>
      <c r="E29" s="545">
        <v>25500</v>
      </c>
      <c r="F29" s="441">
        <v>11</v>
      </c>
      <c r="G29" s="440"/>
      <c r="H29" s="442" t="s">
        <v>316</v>
      </c>
      <c r="I29" s="441">
        <v>28050</v>
      </c>
      <c r="J29" s="473"/>
    </row>
    <row r="30" spans="1:10" ht="13.5" customHeight="1" x14ac:dyDescent="0.2">
      <c r="A30" s="445" t="s">
        <v>880</v>
      </c>
      <c r="B30" s="542"/>
      <c r="C30" s="542"/>
      <c r="D30" s="542"/>
      <c r="E30" s="545">
        <v>-25500</v>
      </c>
      <c r="F30" s="441"/>
      <c r="G30" s="440"/>
      <c r="H30" s="440"/>
      <c r="I30" s="441">
        <v>-28050</v>
      </c>
      <c r="J30" s="473"/>
    </row>
    <row r="31" spans="1:10" ht="13.5" customHeight="1" x14ac:dyDescent="0.2">
      <c r="A31" s="445" t="s">
        <v>881</v>
      </c>
      <c r="B31" s="542"/>
      <c r="C31" s="542"/>
      <c r="D31" s="542"/>
      <c r="E31" s="545">
        <v>0</v>
      </c>
      <c r="F31" s="441"/>
      <c r="G31" s="440"/>
      <c r="H31" s="440"/>
      <c r="I31" s="441">
        <f>I29+I30</f>
        <v>0</v>
      </c>
      <c r="J31" s="473"/>
    </row>
    <row r="32" spans="1:10" ht="13.5" customHeight="1" x14ac:dyDescent="0.2">
      <c r="A32" s="445" t="s">
        <v>882</v>
      </c>
      <c r="B32" s="442"/>
      <c r="C32" s="442">
        <v>487729000</v>
      </c>
      <c r="D32" s="443">
        <v>1.55</v>
      </c>
      <c r="E32" s="442">
        <f>C32*D32</f>
        <v>755979950</v>
      </c>
      <c r="F32" s="441"/>
      <c r="G32" s="590">
        <v>482296000</v>
      </c>
      <c r="H32" s="591">
        <v>1.55</v>
      </c>
      <c r="I32" s="590">
        <f>G32*H32</f>
        <v>747558800</v>
      </c>
      <c r="J32" s="473"/>
    </row>
    <row r="33" spans="1:11" ht="13.5" customHeight="1" x14ac:dyDescent="0.2">
      <c r="A33" s="445" t="s">
        <v>877</v>
      </c>
      <c r="B33" s="442"/>
      <c r="C33" s="442"/>
      <c r="D33" s="446"/>
      <c r="E33" s="442">
        <v>-98054262</v>
      </c>
      <c r="F33" s="441"/>
      <c r="G33" s="440"/>
      <c r="H33" s="440"/>
      <c r="I33" s="441">
        <v>-69343482</v>
      </c>
      <c r="J33" s="473"/>
    </row>
    <row r="34" spans="1:11" ht="13.5" customHeight="1" x14ac:dyDescent="0.2">
      <c r="A34" s="445" t="s">
        <v>883</v>
      </c>
      <c r="B34" s="442"/>
      <c r="C34" s="442"/>
      <c r="D34" s="446"/>
      <c r="E34" s="442">
        <f>E32+E33</f>
        <v>657925688</v>
      </c>
      <c r="F34" s="441"/>
      <c r="G34" s="440"/>
      <c r="H34" s="440"/>
      <c r="I34" s="441">
        <f>I32+I33</f>
        <v>678215318</v>
      </c>
      <c r="J34" s="473"/>
    </row>
    <row r="35" spans="1:11" ht="13.5" customHeight="1" x14ac:dyDescent="0.2">
      <c r="A35" s="546" t="s">
        <v>884</v>
      </c>
      <c r="B35" s="542"/>
      <c r="C35" s="542"/>
      <c r="D35" s="542"/>
      <c r="E35" s="542">
        <v>0</v>
      </c>
      <c r="F35" s="499"/>
      <c r="G35" s="547"/>
      <c r="H35" s="547"/>
      <c r="I35" s="499">
        <v>0</v>
      </c>
      <c r="J35" s="473"/>
    </row>
    <row r="36" spans="1:11" ht="13.5" customHeight="1" x14ac:dyDescent="0.2">
      <c r="A36" s="546"/>
      <c r="B36" s="542"/>
      <c r="C36" s="542"/>
      <c r="D36" s="542"/>
      <c r="E36" s="542"/>
      <c r="F36" s="499"/>
      <c r="G36" s="547"/>
      <c r="H36" s="547"/>
      <c r="I36" s="499"/>
      <c r="J36" s="473"/>
      <c r="K36" s="548"/>
    </row>
    <row r="37" spans="1:11" ht="24.95" customHeight="1" x14ac:dyDescent="0.2">
      <c r="A37" s="549" t="s">
        <v>84</v>
      </c>
      <c r="B37" s="542"/>
      <c r="C37" s="542"/>
      <c r="D37" s="542"/>
      <c r="E37" s="542"/>
      <c r="F37" s="499"/>
      <c r="G37" s="547"/>
      <c r="H37" s="547"/>
      <c r="I37" s="499"/>
      <c r="J37" s="473"/>
    </row>
    <row r="38" spans="1:11" ht="15" customHeight="1" x14ac:dyDescent="0.2">
      <c r="A38" s="539" t="s">
        <v>885</v>
      </c>
      <c r="B38" s="542"/>
      <c r="C38" s="542"/>
      <c r="D38" s="542"/>
      <c r="E38" s="542"/>
      <c r="F38" s="499"/>
      <c r="G38" s="547"/>
      <c r="H38" s="547"/>
      <c r="I38" s="499"/>
      <c r="J38" s="473"/>
    </row>
    <row r="39" spans="1:11" ht="24" customHeight="1" x14ac:dyDescent="0.2">
      <c r="A39" s="539" t="s">
        <v>886</v>
      </c>
      <c r="B39" s="442"/>
      <c r="C39" s="443">
        <v>13.1</v>
      </c>
      <c r="D39" s="442">
        <v>4152000</v>
      </c>
      <c r="E39" s="442">
        <f>C39*D39*8/12</f>
        <v>36260800</v>
      </c>
      <c r="F39" s="441"/>
      <c r="G39" s="440">
        <v>13.3</v>
      </c>
      <c r="H39" s="441">
        <v>4308000</v>
      </c>
      <c r="I39" s="441">
        <f>G39*8/12*4308000</f>
        <v>38197600</v>
      </c>
      <c r="J39" s="473"/>
    </row>
    <row r="40" spans="1:11" ht="24" customHeight="1" x14ac:dyDescent="0.2">
      <c r="A40" s="539" t="s">
        <v>887</v>
      </c>
      <c r="B40" s="442"/>
      <c r="C40" s="443">
        <v>13.1</v>
      </c>
      <c r="D40" s="444">
        <v>4152000</v>
      </c>
      <c r="E40" s="442">
        <f>C40*D40*4/12</f>
        <v>18130400</v>
      </c>
      <c r="F40" s="441"/>
      <c r="G40" s="550">
        <v>13.4</v>
      </c>
      <c r="H40" s="441">
        <v>4308000</v>
      </c>
      <c r="I40" s="441">
        <f>G40*4/12*H40</f>
        <v>19242400</v>
      </c>
      <c r="J40" s="473"/>
    </row>
    <row r="41" spans="1:11" ht="24.95" customHeight="1" x14ac:dyDescent="0.2">
      <c r="A41" s="539" t="s">
        <v>953</v>
      </c>
      <c r="B41" s="542"/>
      <c r="C41" s="551">
        <v>13.1</v>
      </c>
      <c r="D41" s="552">
        <v>35000</v>
      </c>
      <c r="E41" s="542">
        <f>C41*D41</f>
        <v>458500</v>
      </c>
      <c r="F41" s="499"/>
      <c r="G41" s="550">
        <v>13.4</v>
      </c>
      <c r="H41" s="441">
        <v>35000</v>
      </c>
      <c r="I41" s="441">
        <f>G41*H41</f>
        <v>469000</v>
      </c>
      <c r="J41" s="473"/>
    </row>
    <row r="42" spans="1:11" ht="24.95" customHeight="1" x14ac:dyDescent="0.2">
      <c r="A42" s="539" t="s">
        <v>888</v>
      </c>
      <c r="B42" s="542"/>
      <c r="C42" s="542">
        <v>10</v>
      </c>
      <c r="D42" s="542">
        <v>1800000</v>
      </c>
      <c r="E42" s="545">
        <f>C42*D42*8/12</f>
        <v>12000000</v>
      </c>
      <c r="F42" s="499"/>
      <c r="G42" s="550">
        <v>9</v>
      </c>
      <c r="H42" s="441">
        <v>1800000</v>
      </c>
      <c r="I42" s="441">
        <f>G42*H42*8/12</f>
        <v>10800000</v>
      </c>
      <c r="J42" s="473"/>
    </row>
    <row r="43" spans="1:11" ht="35.25" customHeight="1" x14ac:dyDescent="0.2">
      <c r="A43" s="553" t="s">
        <v>889</v>
      </c>
      <c r="B43" s="542"/>
      <c r="C43" s="542"/>
      <c r="D43" s="542"/>
      <c r="E43" s="545"/>
      <c r="F43" s="499"/>
      <c r="G43" s="550">
        <v>1</v>
      </c>
      <c r="H43" s="441">
        <v>4308000</v>
      </c>
      <c r="I43" s="441">
        <f>G43*H43*8/12</f>
        <v>2872000</v>
      </c>
      <c r="J43" s="473"/>
    </row>
    <row r="44" spans="1:11" ht="35.25" customHeight="1" x14ac:dyDescent="0.2">
      <c r="A44" s="539" t="s">
        <v>890</v>
      </c>
      <c r="B44" s="542"/>
      <c r="C44" s="542">
        <v>10</v>
      </c>
      <c r="D44" s="542">
        <v>1800000</v>
      </c>
      <c r="E44" s="542">
        <f>C44*D44*4/12</f>
        <v>6000000</v>
      </c>
      <c r="F44" s="499"/>
      <c r="G44" s="550">
        <v>9</v>
      </c>
      <c r="H44" s="441">
        <v>1800000</v>
      </c>
      <c r="I44" s="441">
        <f>G44*H44*4/12</f>
        <v>5400000</v>
      </c>
      <c r="J44" s="474"/>
    </row>
    <row r="45" spans="1:11" ht="35.25" customHeight="1" x14ac:dyDescent="0.2">
      <c r="A45" s="539" t="s">
        <v>891</v>
      </c>
      <c r="B45" s="542"/>
      <c r="C45" s="542"/>
      <c r="D45" s="542"/>
      <c r="E45" s="542"/>
      <c r="F45" s="499"/>
      <c r="G45" s="550">
        <v>1</v>
      </c>
      <c r="H45" s="441">
        <v>4308000</v>
      </c>
      <c r="I45" s="441">
        <f>G45*H45*4/12</f>
        <v>1436000</v>
      </c>
      <c r="J45" s="474"/>
    </row>
    <row r="46" spans="1:11" ht="13.5" customHeight="1" x14ac:dyDescent="0.2">
      <c r="A46" s="539" t="s">
        <v>892</v>
      </c>
      <c r="B46" s="542"/>
      <c r="C46" s="542"/>
      <c r="D46" s="542"/>
      <c r="E46" s="542"/>
      <c r="F46" s="499"/>
      <c r="G46" s="550">
        <v>1</v>
      </c>
      <c r="H46" s="441">
        <v>35000</v>
      </c>
      <c r="I46" s="441">
        <f>G46*H46</f>
        <v>35000</v>
      </c>
      <c r="J46" s="474"/>
    </row>
    <row r="47" spans="1:11" ht="13.5" customHeight="1" x14ac:dyDescent="0.2">
      <c r="A47" s="445" t="s">
        <v>893</v>
      </c>
      <c r="B47" s="542"/>
      <c r="C47" s="542"/>
      <c r="D47" s="542"/>
      <c r="E47" s="542"/>
      <c r="F47" s="499"/>
      <c r="G47" s="547"/>
      <c r="H47" s="547"/>
      <c r="I47" s="499"/>
      <c r="J47" s="473"/>
    </row>
    <row r="48" spans="1:11" ht="13.5" customHeight="1" x14ac:dyDescent="0.2">
      <c r="A48" s="539" t="s">
        <v>894</v>
      </c>
      <c r="B48" s="442"/>
      <c r="C48" s="442"/>
      <c r="D48" s="442"/>
      <c r="E48" s="442"/>
      <c r="F48" s="441"/>
      <c r="G48" s="441">
        <v>0</v>
      </c>
      <c r="H48" s="442">
        <v>80000</v>
      </c>
      <c r="I48" s="441">
        <f>G48*H48*8/12</f>
        <v>0</v>
      </c>
      <c r="J48" s="473"/>
    </row>
    <row r="49" spans="1:11" ht="13.5" customHeight="1" x14ac:dyDescent="0.2">
      <c r="A49" s="539" t="s">
        <v>895</v>
      </c>
      <c r="B49" s="442"/>
      <c r="C49" s="442">
        <v>142</v>
      </c>
      <c r="D49" s="442">
        <v>70000</v>
      </c>
      <c r="E49" s="442">
        <f>C49*D49*8/12</f>
        <v>6626666.666666667</v>
      </c>
      <c r="F49" s="441"/>
      <c r="G49" s="441">
        <v>144</v>
      </c>
      <c r="H49" s="442">
        <v>80000</v>
      </c>
      <c r="I49" s="441">
        <f>G49*H49*8/12</f>
        <v>7680000</v>
      </c>
      <c r="J49" s="473"/>
    </row>
    <row r="50" spans="1:11" ht="13.5" customHeight="1" x14ac:dyDescent="0.2">
      <c r="A50" s="539" t="s">
        <v>896</v>
      </c>
      <c r="B50" s="542"/>
      <c r="C50" s="542"/>
      <c r="D50" s="542"/>
      <c r="E50" s="542"/>
      <c r="F50" s="499"/>
      <c r="G50" s="441">
        <v>0</v>
      </c>
      <c r="H50" s="442">
        <v>80000</v>
      </c>
      <c r="I50" s="441">
        <f>G50*H50*8/12</f>
        <v>0</v>
      </c>
      <c r="J50" s="473"/>
    </row>
    <row r="51" spans="1:11" ht="39.75" customHeight="1" x14ac:dyDescent="0.2">
      <c r="A51" s="539" t="s">
        <v>897</v>
      </c>
      <c r="B51" s="542"/>
      <c r="C51" s="542">
        <v>142</v>
      </c>
      <c r="D51" s="542">
        <v>70000</v>
      </c>
      <c r="E51" s="542">
        <f>C51*D51*4/12</f>
        <v>3313333.3333333335</v>
      </c>
      <c r="F51" s="499"/>
      <c r="G51" s="441">
        <v>144</v>
      </c>
      <c r="H51" s="442">
        <v>80000</v>
      </c>
      <c r="I51" s="441">
        <f>G51*H51*4/12</f>
        <v>3840000</v>
      </c>
      <c r="J51" s="473"/>
    </row>
    <row r="52" spans="1:11" ht="50.25" customHeight="1" x14ac:dyDescent="0.2">
      <c r="A52" s="445" t="s">
        <v>898</v>
      </c>
      <c r="B52" s="542"/>
      <c r="C52" s="542"/>
      <c r="D52" s="542"/>
      <c r="E52" s="542">
        <v>0</v>
      </c>
      <c r="F52" s="499"/>
      <c r="G52" s="547"/>
      <c r="H52" s="547"/>
      <c r="I52" s="441">
        <v>740000</v>
      </c>
      <c r="J52" s="476"/>
    </row>
    <row r="53" spans="1:11" ht="13.5" customHeight="1" x14ac:dyDescent="0.2">
      <c r="A53" s="445" t="s">
        <v>899</v>
      </c>
      <c r="B53" s="442"/>
      <c r="C53" s="442"/>
      <c r="D53" s="442"/>
      <c r="E53" s="442"/>
      <c r="F53" s="441"/>
      <c r="G53" s="440"/>
      <c r="H53" s="440"/>
      <c r="I53" s="441"/>
      <c r="J53" s="473"/>
    </row>
    <row r="54" spans="1:11" ht="13.5" customHeight="1" x14ac:dyDescent="0.2">
      <c r="A54" s="539" t="s">
        <v>900</v>
      </c>
      <c r="B54" s="442"/>
      <c r="C54" s="442">
        <v>5</v>
      </c>
      <c r="D54" s="554" t="s">
        <v>317</v>
      </c>
      <c r="E54" s="442">
        <v>1760000</v>
      </c>
      <c r="F54" s="441"/>
      <c r="G54" s="441">
        <v>5</v>
      </c>
      <c r="H54" s="441">
        <v>384000</v>
      </c>
      <c r="I54" s="441">
        <f>G54*H54</f>
        <v>1920000</v>
      </c>
      <c r="J54" s="473"/>
    </row>
    <row r="55" spans="1:11" ht="13.5" customHeight="1" x14ac:dyDescent="0.2">
      <c r="A55" s="539" t="s">
        <v>901</v>
      </c>
      <c r="B55" s="542"/>
      <c r="C55" s="542"/>
      <c r="D55" s="542"/>
      <c r="E55" s="542"/>
      <c r="F55" s="499"/>
      <c r="G55" s="441">
        <v>1</v>
      </c>
      <c r="H55" s="441">
        <v>352000</v>
      </c>
      <c r="I55" s="441">
        <f>G55*H55</f>
        <v>352000</v>
      </c>
      <c r="J55" s="473"/>
    </row>
    <row r="56" spans="1:11" ht="12.75" customHeight="1" x14ac:dyDescent="0.2">
      <c r="A56" s="546"/>
      <c r="B56" s="542"/>
      <c r="C56" s="542"/>
      <c r="D56" s="542"/>
      <c r="E56" s="542"/>
      <c r="F56" s="499"/>
      <c r="G56" s="547"/>
      <c r="H56" s="547"/>
      <c r="I56" s="499"/>
      <c r="J56" s="473"/>
      <c r="K56" s="548"/>
    </row>
    <row r="57" spans="1:11" ht="13.5" customHeight="1" x14ac:dyDescent="0.2">
      <c r="A57" s="549" t="s">
        <v>85</v>
      </c>
      <c r="B57" s="542"/>
      <c r="C57" s="542"/>
      <c r="D57" s="542"/>
      <c r="E57" s="542"/>
      <c r="F57" s="499"/>
      <c r="G57" s="547"/>
      <c r="H57" s="547"/>
      <c r="I57" s="499"/>
      <c r="J57" s="473"/>
    </row>
    <row r="58" spans="1:11" ht="33.75" customHeight="1" x14ac:dyDescent="0.2">
      <c r="A58" s="546" t="s">
        <v>902</v>
      </c>
      <c r="B58" s="542"/>
      <c r="C58" s="542"/>
      <c r="D58" s="542"/>
      <c r="E58" s="542">
        <v>0</v>
      </c>
      <c r="F58" s="499"/>
      <c r="G58" s="547"/>
      <c r="H58" s="547"/>
      <c r="I58" s="499">
        <v>0</v>
      </c>
      <c r="J58" s="475"/>
    </row>
    <row r="59" spans="1:11" ht="27" customHeight="1" x14ac:dyDescent="0.2">
      <c r="A59" s="553" t="s">
        <v>903</v>
      </c>
      <c r="B59" s="542"/>
      <c r="C59" s="542"/>
      <c r="D59" s="542"/>
      <c r="E59" s="545">
        <v>0</v>
      </c>
      <c r="F59" s="499"/>
      <c r="G59" s="547"/>
      <c r="H59" s="547"/>
      <c r="I59" s="499">
        <v>0</v>
      </c>
      <c r="J59" s="473"/>
    </row>
    <row r="60" spans="1:11" ht="13.5" customHeight="1" x14ac:dyDescent="0.2">
      <c r="A60" s="445" t="s">
        <v>904</v>
      </c>
      <c r="B60" s="542"/>
      <c r="C60" s="542"/>
      <c r="D60" s="542"/>
      <c r="E60" s="542"/>
      <c r="F60" s="499"/>
      <c r="G60" s="547"/>
      <c r="H60" s="547"/>
      <c r="I60" s="499"/>
      <c r="J60" s="473"/>
    </row>
    <row r="61" spans="1:11" ht="13.5" customHeight="1" x14ac:dyDescent="0.2">
      <c r="A61" s="445" t="s">
        <v>905</v>
      </c>
      <c r="B61" s="542"/>
      <c r="C61" s="542"/>
      <c r="D61" s="542"/>
      <c r="E61" s="542"/>
      <c r="F61" s="499"/>
      <c r="G61" s="547"/>
      <c r="H61" s="547"/>
      <c r="I61" s="499"/>
      <c r="J61" s="473"/>
    </row>
    <row r="62" spans="1:11" ht="13.5" customHeight="1" x14ac:dyDescent="0.2">
      <c r="A62" s="445" t="s">
        <v>906</v>
      </c>
      <c r="B62" s="542"/>
      <c r="C62" s="542"/>
      <c r="D62" s="542"/>
      <c r="E62" s="542"/>
      <c r="F62" s="499"/>
      <c r="G62" s="547"/>
      <c r="H62" s="547"/>
      <c r="I62" s="499"/>
      <c r="J62" s="473"/>
    </row>
    <row r="63" spans="1:11" ht="28.5" customHeight="1" x14ac:dyDescent="0.2">
      <c r="A63" s="539" t="s">
        <v>907</v>
      </c>
      <c r="B63" s="546"/>
      <c r="C63" s="555"/>
      <c r="D63" s="542"/>
      <c r="E63" s="542">
        <f>C63*D63/2</f>
        <v>0</v>
      </c>
      <c r="F63" s="442">
        <v>7916</v>
      </c>
      <c r="G63" s="556"/>
      <c r="H63" s="547"/>
      <c r="I63" s="499"/>
      <c r="J63" s="475"/>
    </row>
    <row r="64" spans="1:11" ht="24.95" customHeight="1" x14ac:dyDescent="0.2">
      <c r="A64" s="553" t="s">
        <v>908</v>
      </c>
      <c r="B64" s="542"/>
      <c r="C64" s="546"/>
      <c r="D64" s="542"/>
      <c r="E64" s="542"/>
      <c r="F64" s="499"/>
      <c r="G64" s="447">
        <v>0</v>
      </c>
      <c r="H64" s="547"/>
      <c r="I64" s="499"/>
      <c r="J64" s="475"/>
    </row>
    <row r="65" spans="1:10" ht="24.95" customHeight="1" x14ac:dyDescent="0.2">
      <c r="A65" s="546" t="s">
        <v>909</v>
      </c>
      <c r="B65" s="542"/>
      <c r="C65" s="546"/>
      <c r="D65" s="542"/>
      <c r="E65" s="542"/>
      <c r="F65" s="499"/>
      <c r="G65" s="446">
        <v>1</v>
      </c>
      <c r="H65" s="547"/>
      <c r="I65" s="499"/>
      <c r="J65" s="473"/>
    </row>
    <row r="66" spans="1:10" ht="24.95" customHeight="1" x14ac:dyDescent="0.2">
      <c r="A66" s="445" t="s">
        <v>910</v>
      </c>
      <c r="B66" s="542"/>
      <c r="C66" s="557">
        <v>0.97299999999999998</v>
      </c>
      <c r="D66" s="542">
        <v>3000000</v>
      </c>
      <c r="E66" s="542"/>
      <c r="F66" s="499"/>
      <c r="G66" s="446">
        <v>2</v>
      </c>
      <c r="H66" s="442">
        <v>3000000</v>
      </c>
      <c r="I66" s="441">
        <f>(2*1+0)*3000000</f>
        <v>6000000</v>
      </c>
      <c r="J66" s="473"/>
    </row>
    <row r="67" spans="1:10" ht="13.5" customHeight="1" x14ac:dyDescent="0.2">
      <c r="A67" s="445" t="s">
        <v>911</v>
      </c>
      <c r="B67" s="558"/>
      <c r="C67" s="542">
        <v>80</v>
      </c>
      <c r="D67" s="542">
        <v>55360</v>
      </c>
      <c r="E67" s="542">
        <f>C67*D67</f>
        <v>4428800</v>
      </c>
      <c r="F67" s="499"/>
      <c r="G67" s="442">
        <v>80</v>
      </c>
      <c r="H67" s="442">
        <v>55360</v>
      </c>
      <c r="I67" s="442">
        <f>G67*H67</f>
        <v>4428800</v>
      </c>
      <c r="J67" s="473"/>
    </row>
    <row r="68" spans="1:10" ht="13.5" customHeight="1" x14ac:dyDescent="0.2">
      <c r="A68" s="445" t="s">
        <v>912</v>
      </c>
      <c r="B68" s="558"/>
      <c r="C68" s="542">
        <v>55</v>
      </c>
      <c r="D68" s="542">
        <v>145000</v>
      </c>
      <c r="E68" s="542">
        <f>C68*D68</f>
        <v>7975000</v>
      </c>
      <c r="F68" s="499"/>
      <c r="G68" s="442">
        <v>50</v>
      </c>
      <c r="H68" s="442">
        <v>145000</v>
      </c>
      <c r="I68" s="442">
        <f>G68*H68</f>
        <v>7250000</v>
      </c>
      <c r="J68" s="473"/>
    </row>
    <row r="69" spans="1:10" ht="13.5" customHeight="1" x14ac:dyDescent="0.2">
      <c r="A69" s="553" t="s">
        <v>913</v>
      </c>
      <c r="B69" s="559"/>
      <c r="C69" s="542">
        <v>23</v>
      </c>
      <c r="D69" s="542">
        <v>109000</v>
      </c>
      <c r="E69" s="542">
        <f>C69*D69</f>
        <v>2507000</v>
      </c>
      <c r="F69" s="499"/>
      <c r="G69" s="442">
        <v>23</v>
      </c>
      <c r="H69" s="442">
        <v>109000</v>
      </c>
      <c r="I69" s="442">
        <f>G69*H69</f>
        <v>2507000</v>
      </c>
      <c r="J69" s="473"/>
    </row>
    <row r="70" spans="1:10" ht="15" customHeight="1" x14ac:dyDescent="0.2">
      <c r="A70" s="539" t="s">
        <v>914</v>
      </c>
      <c r="B70" s="559"/>
      <c r="C70" s="542"/>
      <c r="D70" s="542"/>
      <c r="E70" s="542"/>
      <c r="F70" s="499"/>
      <c r="G70" s="547"/>
      <c r="H70" s="547"/>
      <c r="I70" s="499"/>
      <c r="J70" s="473"/>
    </row>
    <row r="71" spans="1:10" ht="13.5" customHeight="1" x14ac:dyDescent="0.2">
      <c r="A71" s="546" t="s">
        <v>915</v>
      </c>
      <c r="B71" s="546"/>
      <c r="C71" s="546"/>
      <c r="D71" s="499"/>
      <c r="E71" s="542"/>
      <c r="F71" s="499"/>
      <c r="G71" s="547"/>
      <c r="H71" s="547"/>
      <c r="I71" s="499"/>
      <c r="J71" s="473"/>
    </row>
    <row r="72" spans="1:10" ht="13.5" customHeight="1" x14ac:dyDescent="0.2">
      <c r="A72" s="445" t="s">
        <v>916</v>
      </c>
      <c r="B72" s="560"/>
      <c r="C72" s="542">
        <v>13</v>
      </c>
      <c r="D72" s="542">
        <v>494100</v>
      </c>
      <c r="E72" s="542">
        <f>C72*D72</f>
        <v>6423300</v>
      </c>
      <c r="F72" s="499"/>
      <c r="G72" s="442">
        <v>15</v>
      </c>
      <c r="H72" s="442">
        <v>494100</v>
      </c>
      <c r="I72" s="442">
        <f>G72*H72</f>
        <v>7411500</v>
      </c>
      <c r="J72" s="473"/>
    </row>
    <row r="73" spans="1:10" ht="13.5" customHeight="1" x14ac:dyDescent="0.2">
      <c r="A73" s="539" t="s">
        <v>917</v>
      </c>
      <c r="B73" s="558"/>
      <c r="C73" s="542"/>
      <c r="D73" s="542"/>
      <c r="E73" s="542"/>
      <c r="F73" s="499"/>
      <c r="G73" s="547"/>
      <c r="H73" s="547"/>
      <c r="I73" s="499"/>
      <c r="J73" s="473"/>
    </row>
    <row r="74" spans="1:10" ht="13.5" customHeight="1" x14ac:dyDescent="0.2">
      <c r="A74" s="539" t="s">
        <v>918</v>
      </c>
      <c r="B74" s="558"/>
      <c r="C74" s="542">
        <v>15</v>
      </c>
      <c r="D74" s="542">
        <v>2606040</v>
      </c>
      <c r="E74" s="542">
        <f>C74*D74</f>
        <v>39090600</v>
      </c>
      <c r="F74" s="499"/>
      <c r="G74" s="442">
        <v>15</v>
      </c>
      <c r="H74" s="442">
        <v>2606040</v>
      </c>
      <c r="I74" s="442">
        <f>G74*H74</f>
        <v>39090600</v>
      </c>
      <c r="J74" s="473"/>
    </row>
    <row r="75" spans="1:10" ht="24.95" customHeight="1" x14ac:dyDescent="0.2">
      <c r="A75" s="445" t="s">
        <v>919</v>
      </c>
      <c r="B75" s="558"/>
      <c r="C75" s="542"/>
      <c r="D75" s="542"/>
      <c r="E75" s="545">
        <v>37834000</v>
      </c>
      <c r="F75" s="499"/>
      <c r="G75" s="547"/>
      <c r="H75" s="547"/>
      <c r="I75" s="441">
        <v>31081000</v>
      </c>
      <c r="J75" s="477"/>
    </row>
    <row r="76" spans="1:10" ht="15" customHeight="1" x14ac:dyDescent="0.2">
      <c r="A76" s="445" t="s">
        <v>920</v>
      </c>
      <c r="B76" s="558"/>
      <c r="C76" s="542"/>
      <c r="D76" s="542"/>
      <c r="E76" s="542"/>
      <c r="F76" s="499"/>
      <c r="G76" s="547"/>
      <c r="H76" s="547"/>
      <c r="I76" s="499"/>
      <c r="J76" s="473"/>
    </row>
    <row r="77" spans="1:10" ht="34.5" customHeight="1" x14ac:dyDescent="0.2">
      <c r="A77" s="445" t="s">
        <v>921</v>
      </c>
      <c r="B77" s="542"/>
      <c r="C77" s="551">
        <v>12.33</v>
      </c>
      <c r="D77" s="542">
        <v>1632000</v>
      </c>
      <c r="E77" s="542">
        <f>C77*D77</f>
        <v>20122560</v>
      </c>
      <c r="F77" s="499"/>
      <c r="G77" s="443">
        <v>13.81</v>
      </c>
      <c r="H77" s="442">
        <v>1632000</v>
      </c>
      <c r="I77" s="442">
        <f>G77*H77</f>
        <v>22537920</v>
      </c>
      <c r="J77" s="478"/>
    </row>
    <row r="78" spans="1:10" ht="13.5" customHeight="1" x14ac:dyDescent="0.2">
      <c r="A78" s="445" t="s">
        <v>922</v>
      </c>
      <c r="B78" s="542"/>
      <c r="C78" s="542"/>
      <c r="D78" s="542"/>
      <c r="E78" s="545">
        <v>7038795</v>
      </c>
      <c r="F78" s="499"/>
      <c r="G78" s="547"/>
      <c r="H78" s="547"/>
      <c r="I78" s="441">
        <v>10352656</v>
      </c>
      <c r="J78" s="479"/>
    </row>
    <row r="79" spans="1:10" ht="13.5" customHeight="1" x14ac:dyDescent="0.2">
      <c r="A79" s="539" t="s">
        <v>923</v>
      </c>
      <c r="B79" s="542"/>
      <c r="C79" s="542"/>
      <c r="D79" s="542"/>
      <c r="E79" s="545"/>
      <c r="F79" s="499"/>
      <c r="G79" s="441">
        <v>280</v>
      </c>
      <c r="H79" s="441">
        <v>285</v>
      </c>
      <c r="I79" s="441">
        <f>G79*H79</f>
        <v>79800</v>
      </c>
      <c r="J79" s="473"/>
    </row>
    <row r="80" spans="1:10" ht="31.5" customHeight="1" x14ac:dyDescent="0.2">
      <c r="A80" s="445" t="s">
        <v>924</v>
      </c>
      <c r="B80" s="542"/>
      <c r="C80" s="542"/>
      <c r="D80" s="542"/>
      <c r="E80" s="545">
        <v>0</v>
      </c>
      <c r="F80" s="499"/>
      <c r="G80" s="547"/>
      <c r="H80" s="547"/>
      <c r="I80" s="441">
        <v>0</v>
      </c>
      <c r="J80" s="473"/>
    </row>
    <row r="81" spans="1:256" ht="28.5" customHeight="1" x14ac:dyDescent="0.2">
      <c r="A81" s="546"/>
      <c r="B81" s="542"/>
      <c r="C81" s="542"/>
      <c r="D81" s="542"/>
      <c r="E81" s="561"/>
      <c r="F81" s="499"/>
      <c r="G81" s="547"/>
      <c r="H81" s="547"/>
      <c r="I81" s="499"/>
      <c r="J81" s="473"/>
      <c r="K81" s="548"/>
    </row>
    <row r="82" spans="1:256" ht="13.5" customHeight="1" x14ac:dyDescent="0.2">
      <c r="A82" s="549" t="s">
        <v>925</v>
      </c>
      <c r="B82" s="542"/>
      <c r="C82" s="542"/>
      <c r="D82" s="542"/>
      <c r="E82" s="561"/>
      <c r="F82" s="499"/>
      <c r="G82" s="547"/>
      <c r="H82" s="547"/>
      <c r="I82" s="499"/>
      <c r="J82" s="473"/>
    </row>
    <row r="83" spans="1:256" ht="13.5" customHeight="1" x14ac:dyDescent="0.2">
      <c r="A83" s="445" t="s">
        <v>926</v>
      </c>
      <c r="B83" s="542"/>
      <c r="C83" s="542"/>
      <c r="D83" s="542"/>
      <c r="E83" s="561"/>
      <c r="F83" s="499"/>
      <c r="G83" s="547"/>
      <c r="H83" s="547"/>
      <c r="I83" s="499"/>
      <c r="J83" s="473"/>
    </row>
    <row r="84" spans="1:256" ht="13.5" customHeight="1" x14ac:dyDescent="0.2">
      <c r="A84" s="445" t="s">
        <v>927</v>
      </c>
      <c r="B84" s="542"/>
      <c r="C84" s="542">
        <v>4865</v>
      </c>
      <c r="D84" s="542">
        <v>1140</v>
      </c>
      <c r="E84" s="562"/>
      <c r="F84" s="499"/>
      <c r="G84" s="442">
        <v>4837</v>
      </c>
      <c r="H84" s="442">
        <v>1140</v>
      </c>
      <c r="I84" s="229">
        <f>G84*H84</f>
        <v>5514180</v>
      </c>
      <c r="J84" s="473"/>
    </row>
    <row r="85" spans="1:256" ht="30" customHeight="1" x14ac:dyDescent="0.2">
      <c r="A85" s="539" t="s">
        <v>928</v>
      </c>
      <c r="B85" s="542"/>
      <c r="C85" s="542"/>
      <c r="D85" s="542"/>
      <c r="E85" s="562"/>
      <c r="F85" s="499"/>
      <c r="G85" s="542"/>
      <c r="H85" s="542"/>
      <c r="I85" s="229">
        <v>0</v>
      </c>
      <c r="J85" s="473"/>
    </row>
    <row r="86" spans="1:256" ht="13.5" customHeight="1" x14ac:dyDescent="0.2">
      <c r="A86" s="553"/>
      <c r="B86" s="558"/>
      <c r="C86" s="542"/>
      <c r="D86" s="556"/>
      <c r="E86" s="542"/>
      <c r="F86" s="499"/>
      <c r="G86" s="547"/>
      <c r="H86" s="547"/>
      <c r="I86" s="499"/>
      <c r="J86" s="473"/>
      <c r="K86" s="548"/>
    </row>
    <row r="87" spans="1:256" ht="25.5" customHeight="1" x14ac:dyDescent="0.2">
      <c r="A87" s="563" t="s">
        <v>929</v>
      </c>
      <c r="B87" s="558"/>
      <c r="C87" s="564"/>
      <c r="D87" s="542"/>
      <c r="E87" s="545"/>
      <c r="F87" s="558"/>
      <c r="G87" s="547"/>
      <c r="H87" s="547"/>
      <c r="I87" s="499"/>
      <c r="J87" s="473"/>
      <c r="K87" s="548"/>
      <c r="L87" s="548"/>
      <c r="N87" s="228"/>
    </row>
    <row r="88" spans="1:256" ht="13.5" customHeight="1" thickBot="1" x14ac:dyDescent="0.25">
      <c r="A88" s="565"/>
      <c r="B88" s="566"/>
      <c r="C88" s="567"/>
      <c r="D88" s="568"/>
      <c r="E88" s="567"/>
      <c r="F88" s="569"/>
      <c r="G88" s="570"/>
      <c r="H88" s="570"/>
      <c r="I88" s="569"/>
      <c r="J88" s="473"/>
    </row>
    <row r="89" spans="1:256" ht="11.25" customHeight="1" thickBot="1" x14ac:dyDescent="0.25">
      <c r="A89" s="571" t="s">
        <v>930</v>
      </c>
      <c r="B89" s="572"/>
      <c r="C89" s="572"/>
      <c r="D89" s="573"/>
      <c r="E89" s="574">
        <f>E12+E14+E17+E20+E23+E28+E31+E34+E39+E40+E41+E42+E44+E49+E51+E54+E58+E59+E63+E64+E67+E68+E69+E72+E74+E75+E77+E78</f>
        <v>987821085</v>
      </c>
      <c r="F89" s="1324">
        <f>I12+I16+I19+I22+I25+I28+I31+I34+I35+I39+I40+I41+I42+I44+I49+I50+I51+I52+I54+I58+I59+I66+I67+I68+I69+I72+I74+I75+I77+I78+I79+I80+I84+I45+I46+I43+I55</f>
        <v>992732374</v>
      </c>
      <c r="G89" s="1324"/>
      <c r="H89" s="1324"/>
      <c r="I89" s="1325"/>
      <c r="J89" s="5"/>
      <c r="K89" s="57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</row>
    <row r="90" spans="1:256" ht="14.25" customHeight="1" x14ac:dyDescent="0.2"/>
    <row r="91" spans="1:256" s="5" customFormat="1" ht="13.5" customHeight="1" x14ac:dyDescent="0.2">
      <c r="A91" s="157"/>
      <c r="B91" s="157"/>
      <c r="C91" s="157"/>
      <c r="D91" s="157"/>
      <c r="E91" s="161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  <c r="IU91" s="4"/>
      <c r="IV91" s="4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40"/>
  <sheetViews>
    <sheetView workbookViewId="0">
      <selection activeCell="B9" sqref="B9:N31"/>
    </sheetView>
  </sheetViews>
  <sheetFormatPr defaultColWidth="9.140625" defaultRowHeight="12.75" x14ac:dyDescent="0.2"/>
  <cols>
    <col min="1" max="1" width="0.42578125" style="1" customWidth="1"/>
    <col min="2" max="2" width="27.42578125" style="1" customWidth="1"/>
    <col min="3" max="3" width="16.85546875" style="1" customWidth="1"/>
    <col min="4" max="4" width="9.42578125" style="1" customWidth="1"/>
    <col min="5" max="5" width="11.140625" style="190" customWidth="1"/>
    <col min="6" max="6" width="15.140625" style="1" customWidth="1"/>
    <col min="7" max="7" width="0" style="190" hidden="1" customWidth="1"/>
    <col min="8" max="8" width="0" style="239" hidden="1" customWidth="1"/>
    <col min="9" max="9" width="10.28515625" style="190" hidden="1" customWidth="1"/>
    <col min="10" max="16384" width="9.140625" style="2"/>
  </cols>
  <sheetData>
    <row r="1" spans="1:14" x14ac:dyDescent="0.2">
      <c r="A1" s="1337" t="s">
        <v>1230</v>
      </c>
      <c r="B1" s="1337"/>
      <c r="C1" s="1337"/>
      <c r="D1" s="1337"/>
      <c r="E1" s="1337"/>
      <c r="F1" s="1337"/>
      <c r="G1" s="1337"/>
      <c r="H1" s="1337"/>
      <c r="I1" s="1337"/>
    </row>
    <row r="3" spans="1:14" ht="15" customHeight="1" x14ac:dyDescent="0.2">
      <c r="B3" s="1340" t="s">
        <v>78</v>
      </c>
      <c r="C3" s="1340"/>
      <c r="D3" s="1340"/>
      <c r="E3" s="1340"/>
      <c r="F3" s="1340"/>
      <c r="G3" s="1341"/>
      <c r="H3" s="1341"/>
      <c r="I3" s="1341"/>
    </row>
    <row r="4" spans="1:14" ht="15" customHeight="1" x14ac:dyDescent="0.2">
      <c r="B4" s="1344" t="s">
        <v>1127</v>
      </c>
      <c r="C4" s="1344"/>
      <c r="D4" s="1344"/>
      <c r="E4" s="1344"/>
      <c r="F4" s="1344"/>
      <c r="G4" s="2"/>
      <c r="H4" s="2"/>
      <c r="I4" s="2"/>
    </row>
    <row r="5" spans="1:14" ht="15" customHeight="1" x14ac:dyDescent="0.2">
      <c r="B5" s="1340"/>
      <c r="C5" s="1340"/>
      <c r="D5" s="1340"/>
      <c r="E5" s="1340"/>
    </row>
    <row r="6" spans="1:14" ht="15" customHeight="1" x14ac:dyDescent="0.2">
      <c r="B6" s="1342" t="s">
        <v>321</v>
      </c>
      <c r="C6" s="1343"/>
      <c r="D6" s="1343"/>
      <c r="E6" s="1343"/>
      <c r="F6" s="1343"/>
      <c r="G6" s="1343"/>
      <c r="H6" s="1343"/>
      <c r="I6" s="1343"/>
    </row>
    <row r="7" spans="1:14" ht="48.75" customHeight="1" x14ac:dyDescent="0.2">
      <c r="B7" s="184" t="s">
        <v>86</v>
      </c>
      <c r="C7" s="126" t="s">
        <v>1196</v>
      </c>
      <c r="D7" s="1339" t="s">
        <v>1197</v>
      </c>
      <c r="E7" s="1339"/>
      <c r="F7" s="1339"/>
      <c r="G7" s="1339" t="s">
        <v>599</v>
      </c>
      <c r="H7" s="1339"/>
      <c r="I7" s="1339"/>
      <c r="J7" s="1303" t="s">
        <v>1246</v>
      </c>
      <c r="K7" s="1303"/>
      <c r="L7" s="1303" t="s">
        <v>1246</v>
      </c>
      <c r="M7" s="1303"/>
      <c r="N7" s="1303"/>
    </row>
    <row r="8" spans="1:14" ht="35.450000000000003" customHeight="1" x14ac:dyDescent="0.2">
      <c r="B8" s="185"/>
      <c r="C8" s="26"/>
      <c r="D8" s="1183" t="s">
        <v>62</v>
      </c>
      <c r="E8" s="1184" t="s">
        <v>63</v>
      </c>
      <c r="F8" s="1184" t="s">
        <v>1198</v>
      </c>
      <c r="G8" s="2"/>
      <c r="H8" s="2"/>
      <c r="I8" s="2"/>
      <c r="J8" s="1031" t="s">
        <v>62</v>
      </c>
      <c r="K8" s="1031" t="s">
        <v>63</v>
      </c>
      <c r="L8" s="1031" t="s">
        <v>62</v>
      </c>
      <c r="M8" s="1031" t="s">
        <v>63</v>
      </c>
      <c r="N8" s="1032" t="s">
        <v>64</v>
      </c>
    </row>
    <row r="9" spans="1:14" ht="15.95" customHeight="1" x14ac:dyDescent="0.2">
      <c r="B9" s="1185" t="s">
        <v>611</v>
      </c>
      <c r="C9" s="1186"/>
      <c r="D9" s="1187"/>
      <c r="E9" s="1188"/>
      <c r="F9" s="1187"/>
      <c r="G9" s="1189"/>
      <c r="H9" s="1189"/>
      <c r="I9" s="1189"/>
      <c r="J9" s="1189"/>
      <c r="K9" s="1189"/>
      <c r="L9" s="1189"/>
      <c r="M9" s="1189"/>
      <c r="N9" s="1189"/>
    </row>
    <row r="10" spans="1:14" ht="40.5" customHeight="1" x14ac:dyDescent="0.2">
      <c r="B10" s="1187" t="s">
        <v>612</v>
      </c>
      <c r="C10" s="1190" t="s">
        <v>596</v>
      </c>
      <c r="D10" s="1191">
        <v>125390</v>
      </c>
      <c r="E10" s="1191">
        <v>98610</v>
      </c>
      <c r="F10" s="1191">
        <f>SUM(D10:E10)</f>
        <v>224000</v>
      </c>
      <c r="G10" s="1189"/>
      <c r="H10" s="1189"/>
      <c r="I10" s="1189"/>
      <c r="J10" s="1189"/>
      <c r="K10" s="1189"/>
      <c r="L10" s="1189"/>
      <c r="M10" s="1189"/>
      <c r="N10" s="1189"/>
    </row>
    <row r="11" spans="1:14" ht="31.5" customHeight="1" x14ac:dyDescent="0.2">
      <c r="B11" s="1187" t="s">
        <v>613</v>
      </c>
      <c r="C11" s="1187" t="s">
        <v>310</v>
      </c>
      <c r="D11" s="1191">
        <v>241378</v>
      </c>
      <c r="E11" s="1191">
        <v>307622</v>
      </c>
      <c r="F11" s="1191">
        <f>SUM(D11:E11)</f>
        <v>549000</v>
      </c>
      <c r="G11" s="1189"/>
      <c r="H11" s="1189"/>
      <c r="I11" s="1189"/>
      <c r="J11" s="1192"/>
      <c r="K11" s="1189"/>
      <c r="L11" s="1189"/>
      <c r="M11" s="1189"/>
      <c r="N11" s="1189"/>
    </row>
    <row r="12" spans="1:14" ht="15.95" customHeight="1" x14ac:dyDescent="0.2">
      <c r="B12" s="1187" t="s">
        <v>614</v>
      </c>
      <c r="C12" s="1193" t="s">
        <v>615</v>
      </c>
      <c r="D12" s="1191">
        <v>144919</v>
      </c>
      <c r="E12" s="1191">
        <v>286081</v>
      </c>
      <c r="F12" s="1191">
        <f>SUM(D12:E12)</f>
        <v>431000</v>
      </c>
      <c r="G12" s="1189"/>
      <c r="H12" s="1189"/>
      <c r="I12" s="1189"/>
      <c r="J12" s="1189"/>
      <c r="K12" s="1189"/>
      <c r="L12" s="1189"/>
      <c r="M12" s="1189"/>
      <c r="N12" s="1189"/>
    </row>
    <row r="13" spans="1:14" ht="15.95" customHeight="1" x14ac:dyDescent="0.2">
      <c r="B13" s="1186" t="s">
        <v>616</v>
      </c>
      <c r="C13" s="1193"/>
      <c r="D13" s="1194">
        <f>SUM(D10:D12)</f>
        <v>511687</v>
      </c>
      <c r="E13" s="1194">
        <f>SUM(E10:E12)</f>
        <v>692313</v>
      </c>
      <c r="F13" s="1194">
        <f>SUM(D13:E13)</f>
        <v>1204000</v>
      </c>
      <c r="G13" s="1189"/>
      <c r="H13" s="1189"/>
      <c r="I13" s="1189"/>
      <c r="J13" s="1189"/>
      <c r="K13" s="1189"/>
      <c r="L13" s="1189"/>
      <c r="M13" s="1189"/>
      <c r="N13" s="1189"/>
    </row>
    <row r="14" spans="1:14" ht="15.95" customHeight="1" x14ac:dyDescent="0.2">
      <c r="B14" s="1187"/>
      <c r="C14" s="1193"/>
      <c r="D14" s="1191"/>
      <c r="E14" s="1191"/>
      <c r="F14" s="1191">
        <f t="shared" ref="F14:F30" si="0">SUM(D14:E14)</f>
        <v>0</v>
      </c>
      <c r="G14" s="1189"/>
      <c r="H14" s="1189"/>
      <c r="I14" s="1189"/>
      <c r="J14" s="1189"/>
      <c r="K14" s="1189"/>
      <c r="L14" s="1189"/>
      <c r="M14" s="1189"/>
      <c r="N14" s="1189"/>
    </row>
    <row r="15" spans="1:14" s="247" customFormat="1" ht="45.75" customHeight="1" x14ac:dyDescent="0.2">
      <c r="B15" s="1195" t="s">
        <v>617</v>
      </c>
      <c r="C15" s="1196"/>
      <c r="D15" s="1194">
        <v>4500</v>
      </c>
      <c r="E15" s="1194"/>
      <c r="F15" s="1194">
        <f>D15+E15</f>
        <v>4500</v>
      </c>
      <c r="G15" s="1197"/>
      <c r="H15" s="1197"/>
      <c r="I15" s="1197"/>
      <c r="J15" s="1197"/>
      <c r="K15" s="1197"/>
      <c r="L15" s="1197"/>
      <c r="M15" s="1197"/>
      <c r="N15" s="1197"/>
    </row>
    <row r="16" spans="1:14" ht="15.95" customHeight="1" x14ac:dyDescent="0.2">
      <c r="B16" s="1186"/>
      <c r="C16" s="1198"/>
      <c r="D16" s="1191"/>
      <c r="E16" s="1191"/>
      <c r="F16" s="1191">
        <f t="shared" si="0"/>
        <v>0</v>
      </c>
      <c r="G16" s="1189"/>
      <c r="H16" s="1189"/>
      <c r="I16" s="1189"/>
      <c r="J16" s="1189"/>
      <c r="K16" s="1189"/>
      <c r="L16" s="1189"/>
      <c r="M16" s="1189"/>
      <c r="N16" s="1189"/>
    </row>
    <row r="17" spans="2:14" ht="15.95" customHeight="1" x14ac:dyDescent="0.2">
      <c r="B17" s="1338" t="s">
        <v>618</v>
      </c>
      <c r="C17" s="1338"/>
      <c r="D17" s="1191"/>
      <c r="E17" s="1191"/>
      <c r="F17" s="1191">
        <f t="shared" si="0"/>
        <v>0</v>
      </c>
      <c r="G17" s="1189"/>
      <c r="H17" s="1189"/>
      <c r="I17" s="1189"/>
      <c r="J17" s="1189"/>
      <c r="K17" s="1189"/>
      <c r="L17" s="1189"/>
      <c r="M17" s="1189"/>
      <c r="N17" s="1189"/>
    </row>
    <row r="18" spans="2:14" ht="15.95" customHeight="1" x14ac:dyDescent="0.2">
      <c r="B18" s="1187"/>
      <c r="C18" s="1193"/>
      <c r="D18" s="1191"/>
      <c r="E18" s="1191"/>
      <c r="F18" s="1191">
        <f t="shared" si="0"/>
        <v>0</v>
      </c>
      <c r="G18" s="1189"/>
      <c r="H18" s="1189"/>
      <c r="I18" s="1189"/>
      <c r="J18" s="1189"/>
      <c r="K18" s="1189"/>
      <c r="L18" s="1189"/>
      <c r="M18" s="1189"/>
      <c r="N18" s="1189"/>
    </row>
    <row r="19" spans="2:14" ht="28.5" customHeight="1" x14ac:dyDescent="0.2">
      <c r="B19" s="1199"/>
      <c r="C19" s="1200"/>
      <c r="D19" s="1191"/>
      <c r="E19" s="1191"/>
      <c r="F19" s="1191">
        <f t="shared" si="0"/>
        <v>0</v>
      </c>
      <c r="G19" s="1189"/>
      <c r="H19" s="1189"/>
      <c r="I19" s="1189"/>
      <c r="J19" s="1189"/>
      <c r="K19" s="1189"/>
      <c r="L19" s="1189"/>
      <c r="M19" s="1189"/>
      <c r="N19" s="1189"/>
    </row>
    <row r="20" spans="2:14" ht="78.75" customHeight="1" x14ac:dyDescent="0.2">
      <c r="B20" s="1201" t="s">
        <v>619</v>
      </c>
      <c r="C20" s="1202" t="s">
        <v>620</v>
      </c>
      <c r="D20" s="1191">
        <v>17000</v>
      </c>
      <c r="E20" s="1191"/>
      <c r="F20" s="1191">
        <f t="shared" si="0"/>
        <v>17000</v>
      </c>
      <c r="G20" s="1189"/>
      <c r="H20" s="1189"/>
      <c r="I20" s="1189"/>
      <c r="J20" s="1189"/>
      <c r="K20" s="1189"/>
      <c r="L20" s="1189"/>
      <c r="M20" s="1189"/>
      <c r="N20" s="1189"/>
    </row>
    <row r="21" spans="2:14" s="2" customFormat="1" ht="15.95" customHeight="1" x14ac:dyDescent="0.2">
      <c r="B21" s="1186" t="s">
        <v>621</v>
      </c>
      <c r="C21" s="1198"/>
      <c r="D21" s="1194">
        <f>SUM(D18:D20)</f>
        <v>17000</v>
      </c>
      <c r="E21" s="1194"/>
      <c r="F21" s="1194">
        <f t="shared" si="0"/>
        <v>17000</v>
      </c>
      <c r="G21" s="1189"/>
      <c r="H21" s="1189"/>
      <c r="I21" s="1189"/>
      <c r="J21" s="1189"/>
      <c r="K21" s="1189"/>
      <c r="L21" s="1189"/>
      <c r="M21" s="1189"/>
      <c r="N21" s="1189"/>
    </row>
    <row r="22" spans="2:14" s="2" customFormat="1" ht="15.95" customHeight="1" x14ac:dyDescent="0.2">
      <c r="B22" s="1186"/>
      <c r="C22" s="1198"/>
      <c r="D22" s="1191"/>
      <c r="E22" s="1191"/>
      <c r="F22" s="1191">
        <f t="shared" si="0"/>
        <v>0</v>
      </c>
      <c r="G22" s="1189"/>
      <c r="H22" s="1189"/>
      <c r="I22" s="1189"/>
      <c r="J22" s="1189"/>
      <c r="K22" s="1189"/>
      <c r="L22" s="1189"/>
      <c r="M22" s="1189"/>
      <c r="N22" s="1189"/>
    </row>
    <row r="23" spans="2:14" s="2" customFormat="1" ht="15.95" customHeight="1" x14ac:dyDescent="0.2">
      <c r="B23" s="1185" t="s">
        <v>622</v>
      </c>
      <c r="C23" s="1198"/>
      <c r="D23" s="1191"/>
      <c r="E23" s="1191"/>
      <c r="F23" s="1191">
        <f t="shared" si="0"/>
        <v>0</v>
      </c>
      <c r="G23" s="1189"/>
      <c r="H23" s="1189"/>
      <c r="I23" s="1189"/>
      <c r="J23" s="1189"/>
      <c r="K23" s="1189"/>
      <c r="L23" s="1189"/>
      <c r="M23" s="1189"/>
      <c r="N23" s="1189"/>
    </row>
    <row r="24" spans="2:14" s="2" customFormat="1" ht="15.95" customHeight="1" x14ac:dyDescent="0.2">
      <c r="B24" s="1187" t="s">
        <v>623</v>
      </c>
      <c r="C24" s="1198"/>
      <c r="D24" s="1191"/>
      <c r="E24" s="1191"/>
      <c r="F24" s="1191">
        <f t="shared" si="0"/>
        <v>0</v>
      </c>
      <c r="G24" s="1189"/>
      <c r="H24" s="1189"/>
      <c r="I24" s="1189"/>
      <c r="J24" s="1189"/>
      <c r="K24" s="1189"/>
      <c r="L24" s="1189"/>
      <c r="M24" s="1189"/>
      <c r="N24" s="1189"/>
    </row>
    <row r="25" spans="2:14" s="247" customFormat="1" ht="15.95" customHeight="1" x14ac:dyDescent="0.2">
      <c r="B25" s="1189" t="s">
        <v>115</v>
      </c>
      <c r="C25" s="1203"/>
      <c r="D25" s="1191">
        <v>820</v>
      </c>
      <c r="E25" s="1191"/>
      <c r="F25" s="1191">
        <f t="shared" si="0"/>
        <v>820</v>
      </c>
      <c r="G25" s="1189"/>
      <c r="H25" s="1197"/>
      <c r="I25" s="1197"/>
      <c r="J25" s="1197"/>
      <c r="K25" s="1197"/>
      <c r="L25" s="1197"/>
      <c r="M25" s="1197"/>
      <c r="N25" s="1197"/>
    </row>
    <row r="26" spans="2:14" s="247" customFormat="1" ht="15.95" customHeight="1" x14ac:dyDescent="0.2">
      <c r="B26" s="1189" t="s">
        <v>582</v>
      </c>
      <c r="C26" s="1203"/>
      <c r="D26" s="1191">
        <v>9000</v>
      </c>
      <c r="E26" s="1191"/>
      <c r="F26" s="1191">
        <f>SUM(D26:E26)</f>
        <v>9000</v>
      </c>
      <c r="G26" s="1189"/>
      <c r="H26" s="1197"/>
      <c r="I26" s="1197"/>
      <c r="J26" s="1197"/>
      <c r="K26" s="1197"/>
      <c r="L26" s="1197"/>
      <c r="M26" s="1197"/>
      <c r="N26" s="1197"/>
    </row>
    <row r="27" spans="2:14" s="2" customFormat="1" ht="15.95" customHeight="1" x14ac:dyDescent="0.2">
      <c r="B27" s="1187" t="s">
        <v>624</v>
      </c>
      <c r="C27" s="1198"/>
      <c r="D27" s="1191"/>
      <c r="E27" s="1191"/>
      <c r="F27" s="1191">
        <f t="shared" si="0"/>
        <v>0</v>
      </c>
      <c r="G27" s="1189"/>
      <c r="H27" s="1189"/>
      <c r="I27" s="1189"/>
      <c r="J27" s="1189"/>
      <c r="K27" s="1189"/>
      <c r="L27" s="1189"/>
      <c r="M27" s="1189"/>
      <c r="N27" s="1189"/>
    </row>
    <row r="28" spans="2:14" s="2" customFormat="1" ht="15.95" customHeight="1" x14ac:dyDescent="0.2">
      <c r="B28" s="1187" t="s">
        <v>625</v>
      </c>
      <c r="C28" s="1198"/>
      <c r="D28" s="1191"/>
      <c r="E28" s="1191"/>
      <c r="F28" s="1191">
        <f t="shared" si="0"/>
        <v>0</v>
      </c>
      <c r="G28" s="1189"/>
      <c r="H28" s="1189"/>
      <c r="I28" s="1189"/>
      <c r="J28" s="1189"/>
      <c r="K28" s="1189"/>
      <c r="L28" s="1189"/>
      <c r="M28" s="1189"/>
      <c r="N28" s="1189"/>
    </row>
    <row r="29" spans="2:14" s="2" customFormat="1" ht="15.95" customHeight="1" x14ac:dyDescent="0.2">
      <c r="B29" s="1186" t="s">
        <v>626</v>
      </c>
      <c r="C29" s="1198"/>
      <c r="D29" s="1194">
        <f>SUM(D24:D28)</f>
        <v>9820</v>
      </c>
      <c r="E29" s="1194">
        <f>SUM(E24:E28)</f>
        <v>0</v>
      </c>
      <c r="F29" s="1194">
        <f t="shared" si="0"/>
        <v>9820</v>
      </c>
      <c r="G29" s="1189"/>
      <c r="H29" s="1189"/>
      <c r="I29" s="1189"/>
      <c r="J29" s="1189"/>
      <c r="K29" s="1189"/>
      <c r="L29" s="1189"/>
      <c r="M29" s="1189"/>
      <c r="N29" s="1189"/>
    </row>
    <row r="30" spans="2:14" s="2" customFormat="1" ht="15.95" customHeight="1" x14ac:dyDescent="0.2">
      <c r="B30" s="1186"/>
      <c r="C30" s="1198"/>
      <c r="D30" s="1191"/>
      <c r="E30" s="1191"/>
      <c r="F30" s="1191">
        <f t="shared" si="0"/>
        <v>0</v>
      </c>
      <c r="G30" s="1189"/>
      <c r="H30" s="1189"/>
      <c r="I30" s="1189"/>
      <c r="J30" s="1189"/>
      <c r="K30" s="1189"/>
      <c r="L30" s="1189"/>
      <c r="M30" s="1189"/>
      <c r="N30" s="1189"/>
    </row>
    <row r="31" spans="2:14" s="2" customFormat="1" ht="15.95" customHeight="1" x14ac:dyDescent="0.2">
      <c r="B31" s="1186" t="s">
        <v>627</v>
      </c>
      <c r="C31" s="1187"/>
      <c r="D31" s="1204">
        <f>D13+D15+D21+D29</f>
        <v>543007</v>
      </c>
      <c r="E31" s="1204">
        <f>E13+E15+E21+E29</f>
        <v>692313</v>
      </c>
      <c r="F31" s="1204">
        <f>SUM(D31:E31)</f>
        <v>1235320</v>
      </c>
      <c r="G31" s="1189"/>
      <c r="H31" s="1189"/>
      <c r="I31" s="1189"/>
      <c r="J31" s="1189"/>
      <c r="K31" s="1189"/>
      <c r="L31" s="1189"/>
      <c r="M31" s="1189"/>
      <c r="N31" s="1189"/>
    </row>
    <row r="32" spans="2:14" s="2" customFormat="1" ht="15.95" customHeight="1" x14ac:dyDescent="0.2">
      <c r="B32" s="1"/>
      <c r="C32" s="1"/>
      <c r="D32" s="1"/>
      <c r="E32" s="190"/>
      <c r="F32" s="1"/>
    </row>
    <row r="33" spans="1:9" x14ac:dyDescent="0.2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2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2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2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2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2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">
      <c r="A40" s="2"/>
      <c r="B40" s="2"/>
      <c r="C40" s="2"/>
      <c r="D40" s="2"/>
      <c r="E40" s="2"/>
      <c r="F40" s="2"/>
      <c r="G40" s="2"/>
      <c r="H40" s="2"/>
      <c r="I40" s="2"/>
    </row>
  </sheetData>
  <sheetProtection selectLockedCells="1" selectUnlockedCells="1"/>
  <mergeCells count="10">
    <mergeCell ref="J7:K7"/>
    <mergeCell ref="L7:N7"/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scale="81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90"/>
  <sheetViews>
    <sheetView zoomScale="200" zoomScaleNormal="200" workbookViewId="0">
      <selection activeCell="B2" sqref="B2"/>
    </sheetView>
  </sheetViews>
  <sheetFormatPr defaultColWidth="9.140625" defaultRowHeight="11.25" x14ac:dyDescent="0.2"/>
  <cols>
    <col min="1" max="1" width="4.85546875" style="131" customWidth="1"/>
    <col min="2" max="2" width="57.5703125" style="162" customWidth="1"/>
    <col min="3" max="3" width="8.7109375" style="128" customWidth="1"/>
    <col min="4" max="4" width="9.5703125" style="128" customWidth="1"/>
    <col min="5" max="5" width="8.28515625" style="128" customWidth="1"/>
    <col min="6" max="16384" width="9.140625" style="6"/>
  </cols>
  <sheetData>
    <row r="1" spans="1:10" x14ac:dyDescent="0.2">
      <c r="B1" s="1345" t="s">
        <v>1231</v>
      </c>
      <c r="C1" s="1345"/>
      <c r="D1" s="1345"/>
      <c r="E1" s="1345"/>
    </row>
    <row r="2" spans="1:10" x14ac:dyDescent="0.2">
      <c r="B2" s="163"/>
    </row>
    <row r="3" spans="1:10" x14ac:dyDescent="0.2">
      <c r="A3" s="1349" t="s">
        <v>54</v>
      </c>
      <c r="B3" s="1349"/>
      <c r="C3" s="1349"/>
      <c r="D3" s="1349"/>
      <c r="E3" s="1349"/>
    </row>
    <row r="4" spans="1:10" ht="11.25" customHeight="1" x14ac:dyDescent="0.2">
      <c r="A4" s="1349" t="s">
        <v>1163</v>
      </c>
      <c r="B4" s="1349"/>
      <c r="C4" s="1349"/>
      <c r="D4" s="1349"/>
      <c r="E4" s="1349"/>
    </row>
    <row r="5" spans="1:10" x14ac:dyDescent="0.2">
      <c r="A5" s="1349" t="s">
        <v>725</v>
      </c>
      <c r="B5" s="1349"/>
      <c r="C5" s="1349"/>
      <c r="D5" s="1349"/>
      <c r="E5" s="1349"/>
    </row>
    <row r="6" spans="1:10" ht="12.75" x14ac:dyDescent="0.2">
      <c r="B6" s="1350" t="s">
        <v>321</v>
      </c>
      <c r="C6" s="1351"/>
      <c r="D6" s="1351"/>
      <c r="E6" s="1351"/>
    </row>
    <row r="7" spans="1:10" ht="24" customHeight="1" x14ac:dyDescent="0.2">
      <c r="A7" s="1352" t="s">
        <v>77</v>
      </c>
      <c r="B7" s="1346" t="s">
        <v>86</v>
      </c>
      <c r="C7" s="1348" t="s">
        <v>1199</v>
      </c>
      <c r="D7" s="1348"/>
      <c r="E7" s="1348"/>
      <c r="F7" s="1303" t="s">
        <v>1246</v>
      </c>
      <c r="G7" s="1303"/>
      <c r="H7" s="1303" t="s">
        <v>1246</v>
      </c>
      <c r="I7" s="1303"/>
      <c r="J7" s="1303"/>
    </row>
    <row r="8" spans="1:10" ht="21" x14ac:dyDescent="0.2">
      <c r="A8" s="1353"/>
      <c r="B8" s="1347"/>
      <c r="C8" s="248" t="s">
        <v>62</v>
      </c>
      <c r="D8" s="248" t="s">
        <v>63</v>
      </c>
      <c r="E8" s="248" t="s">
        <v>64</v>
      </c>
      <c r="F8" s="1031" t="s">
        <v>62</v>
      </c>
      <c r="G8" s="1031" t="s">
        <v>63</v>
      </c>
      <c r="H8" s="1031" t="s">
        <v>62</v>
      </c>
      <c r="I8" s="1031" t="s">
        <v>63</v>
      </c>
      <c r="J8" s="1032" t="s">
        <v>64</v>
      </c>
    </row>
    <row r="9" spans="1:10" x14ac:dyDescent="0.2">
      <c r="A9" s="1033" t="s">
        <v>508</v>
      </c>
      <c r="B9" s="1209" t="s">
        <v>87</v>
      </c>
      <c r="C9" s="1037"/>
      <c r="D9" s="1037"/>
      <c r="E9" s="1037"/>
      <c r="F9" s="1205"/>
      <c r="G9" s="1205"/>
      <c r="H9" s="1205"/>
      <c r="I9" s="1205"/>
      <c r="J9" s="1205"/>
    </row>
    <row r="10" spans="1:10" x14ac:dyDescent="0.2">
      <c r="A10" s="1033" t="s">
        <v>516</v>
      </c>
      <c r="B10" s="1210" t="s">
        <v>88</v>
      </c>
      <c r="C10" s="1042"/>
      <c r="D10" s="1037"/>
      <c r="E10" s="1037">
        <f>SUM(C10:D10)</f>
        <v>0</v>
      </c>
      <c r="F10" s="1205"/>
      <c r="G10" s="1205"/>
      <c r="H10" s="1205"/>
      <c r="I10" s="1205"/>
      <c r="J10" s="1205"/>
    </row>
    <row r="11" spans="1:10" s="7" customFormat="1" x14ac:dyDescent="0.2">
      <c r="A11" s="1033" t="s">
        <v>517</v>
      </c>
      <c r="B11" s="1210" t="s">
        <v>174</v>
      </c>
      <c r="C11" s="1170">
        <f>C12+C13+C14+C15+C16+C17</f>
        <v>722724</v>
      </c>
      <c r="D11" s="1170">
        <f>D12+D13+D14+D15+D16+D17</f>
        <v>93769</v>
      </c>
      <c r="E11" s="1167">
        <f>SUM(C11:D11)</f>
        <v>816493</v>
      </c>
      <c r="F11" s="1206"/>
      <c r="G11" s="1206"/>
      <c r="H11" s="1206"/>
      <c r="I11" s="1206"/>
      <c r="J11" s="1206"/>
    </row>
    <row r="12" spans="1:10" s="7" customFormat="1" x14ac:dyDescent="0.2">
      <c r="A12" s="1033" t="s">
        <v>518</v>
      </c>
      <c r="B12" s="1211" t="s">
        <v>171</v>
      </c>
      <c r="C12" s="1207">
        <v>548339</v>
      </c>
      <c r="D12" s="1207"/>
      <c r="E12" s="1207">
        <f t="shared" ref="E12:E17" si="0">C12+D12</f>
        <v>548339</v>
      </c>
      <c r="F12" s="1206"/>
      <c r="G12" s="1206"/>
      <c r="H12" s="1206"/>
      <c r="I12" s="1206"/>
      <c r="J12" s="1206"/>
    </row>
    <row r="13" spans="1:10" s="7" customFormat="1" x14ac:dyDescent="0.2">
      <c r="A13" s="1033" t="s">
        <v>519</v>
      </c>
      <c r="B13" s="1211" t="s">
        <v>172</v>
      </c>
      <c r="C13" s="1207">
        <v>87961</v>
      </c>
      <c r="D13" s="1207"/>
      <c r="E13" s="1207">
        <f t="shared" si="0"/>
        <v>87961</v>
      </c>
      <c r="F13" s="1206"/>
      <c r="G13" s="1206"/>
      <c r="H13" s="1206"/>
      <c r="I13" s="1206"/>
      <c r="J13" s="1206"/>
    </row>
    <row r="14" spans="1:10" s="7" customFormat="1" x14ac:dyDescent="0.2">
      <c r="A14" s="1033" t="s">
        <v>520</v>
      </c>
      <c r="B14" s="1211" t="s">
        <v>173</v>
      </c>
      <c r="C14" s="1207">
        <v>80731</v>
      </c>
      <c r="D14" s="1207">
        <v>93769</v>
      </c>
      <c r="E14" s="1207">
        <f t="shared" si="0"/>
        <v>174500</v>
      </c>
      <c r="F14" s="1206"/>
      <c r="G14" s="1206"/>
      <c r="H14" s="1206"/>
      <c r="I14" s="1206"/>
      <c r="J14" s="1206"/>
    </row>
    <row r="15" spans="1:10" s="7" customFormat="1" x14ac:dyDescent="0.2">
      <c r="A15" s="1033" t="s">
        <v>521</v>
      </c>
      <c r="B15" s="1212"/>
      <c r="C15" s="1037"/>
      <c r="D15" s="1037"/>
      <c r="E15" s="1037"/>
      <c r="F15" s="1206"/>
      <c r="G15" s="1206"/>
      <c r="H15" s="1206"/>
      <c r="I15" s="1206"/>
      <c r="J15" s="1206"/>
    </row>
    <row r="16" spans="1:10" s="7" customFormat="1" x14ac:dyDescent="0.2">
      <c r="A16" s="1033" t="s">
        <v>522</v>
      </c>
      <c r="B16" s="1212"/>
      <c r="C16" s="1037"/>
      <c r="D16" s="1037"/>
      <c r="E16" s="1037"/>
      <c r="F16" s="1206"/>
      <c r="G16" s="1206"/>
      <c r="H16" s="1206"/>
      <c r="I16" s="1206"/>
      <c r="J16" s="1206"/>
    </row>
    <row r="17" spans="1:10" s="7" customFormat="1" x14ac:dyDescent="0.2">
      <c r="A17" s="1033" t="s">
        <v>523</v>
      </c>
      <c r="B17" s="1211" t="s">
        <v>192</v>
      </c>
      <c r="C17" s="1037">
        <v>5693</v>
      </c>
      <c r="D17" s="1037"/>
      <c r="E17" s="1037">
        <f t="shared" si="0"/>
        <v>5693</v>
      </c>
      <c r="F17" s="1206"/>
      <c r="G17" s="1206"/>
      <c r="H17" s="1206"/>
      <c r="I17" s="1206"/>
      <c r="J17" s="1206"/>
    </row>
    <row r="18" spans="1:10" s="7" customFormat="1" x14ac:dyDescent="0.2">
      <c r="A18" s="1033" t="s">
        <v>565</v>
      </c>
      <c r="B18" s="1210" t="s">
        <v>175</v>
      </c>
      <c r="C18" s="1035">
        <v>0</v>
      </c>
      <c r="D18" s="1035"/>
      <c r="E18" s="1035">
        <v>0</v>
      </c>
      <c r="F18" s="1206"/>
      <c r="G18" s="1206"/>
      <c r="H18" s="1206"/>
      <c r="I18" s="1206"/>
      <c r="J18" s="1206"/>
    </row>
    <row r="19" spans="1:10" s="7" customFormat="1" x14ac:dyDescent="0.2">
      <c r="A19" s="1033" t="s">
        <v>566</v>
      </c>
      <c r="B19" s="1210" t="s">
        <v>202</v>
      </c>
      <c r="C19" s="1049">
        <v>0</v>
      </c>
      <c r="D19" s="1208"/>
      <c r="E19" s="1049">
        <f>C19+D19</f>
        <v>0</v>
      </c>
      <c r="F19" s="1206"/>
      <c r="G19" s="1206"/>
      <c r="H19" s="1206"/>
      <c r="I19" s="1206"/>
      <c r="J19" s="1206"/>
    </row>
    <row r="20" spans="1:10" s="7" customFormat="1" x14ac:dyDescent="0.2">
      <c r="A20" s="1033" t="s">
        <v>567</v>
      </c>
      <c r="B20" s="1210" t="s">
        <v>300</v>
      </c>
      <c r="C20" s="1035">
        <v>0</v>
      </c>
      <c r="D20" s="1035">
        <v>0</v>
      </c>
      <c r="E20" s="1035">
        <f>C20+D20</f>
        <v>0</v>
      </c>
      <c r="F20" s="1206"/>
      <c r="G20" s="1206"/>
      <c r="H20" s="1206"/>
      <c r="I20" s="1206"/>
      <c r="J20" s="1206"/>
    </row>
    <row r="21" spans="1:10" x14ac:dyDescent="0.2">
      <c r="A21" s="1033" t="s">
        <v>568</v>
      </c>
      <c r="B21" s="1212"/>
      <c r="C21" s="1037"/>
      <c r="D21" s="1037"/>
      <c r="E21" s="1037"/>
      <c r="F21" s="1205"/>
      <c r="G21" s="1205"/>
      <c r="H21" s="1205"/>
      <c r="I21" s="1205"/>
      <c r="J21" s="1205"/>
    </row>
    <row r="22" spans="1:10" x14ac:dyDescent="0.2">
      <c r="A22" s="1033" t="s">
        <v>569</v>
      </c>
      <c r="B22" s="1210" t="s">
        <v>17</v>
      </c>
      <c r="C22" s="1035">
        <f>SUM(C23:C33)</f>
        <v>6592</v>
      </c>
      <c r="D22" s="1035">
        <f>SUM(D23:D33)</f>
        <v>0</v>
      </c>
      <c r="E22" s="1035">
        <f>SUM(C22:D22)</f>
        <v>6592</v>
      </c>
      <c r="F22" s="1205"/>
      <c r="G22" s="1205"/>
      <c r="H22" s="1205"/>
      <c r="I22" s="1205"/>
      <c r="J22" s="1205"/>
    </row>
    <row r="23" spans="1:10" x14ac:dyDescent="0.2">
      <c r="A23" s="1033" t="s">
        <v>570</v>
      </c>
      <c r="B23" s="1211" t="s">
        <v>89</v>
      </c>
      <c r="C23" s="1037"/>
      <c r="D23" s="1037"/>
      <c r="E23" s="1037"/>
      <c r="F23" s="1205"/>
      <c r="G23" s="1205"/>
      <c r="H23" s="1205"/>
      <c r="I23" s="1205"/>
      <c r="J23" s="1205"/>
    </row>
    <row r="24" spans="1:10" x14ac:dyDescent="0.2">
      <c r="A24" s="1033" t="s">
        <v>571</v>
      </c>
      <c r="B24" s="1212" t="s">
        <v>1141</v>
      </c>
      <c r="C24" s="1037">
        <v>467</v>
      </c>
      <c r="D24" s="1037"/>
      <c r="E24" s="1037">
        <f>C24+D24</f>
        <v>467</v>
      </c>
      <c r="F24" s="1205"/>
      <c r="G24" s="1205"/>
      <c r="H24" s="1205"/>
      <c r="I24" s="1205"/>
      <c r="J24" s="1205"/>
    </row>
    <row r="25" spans="1:10" x14ac:dyDescent="0.2">
      <c r="A25" s="1033" t="s">
        <v>572</v>
      </c>
      <c r="B25" s="1212" t="s">
        <v>1142</v>
      </c>
      <c r="C25" s="1037">
        <v>5275</v>
      </c>
      <c r="D25" s="1037"/>
      <c r="E25" s="1037">
        <f>C25+D25</f>
        <v>5275</v>
      </c>
      <c r="F25" s="1205"/>
      <c r="G25" s="1205"/>
      <c r="H25" s="1205"/>
      <c r="I25" s="1205"/>
      <c r="J25" s="1205"/>
    </row>
    <row r="26" spans="1:10" x14ac:dyDescent="0.2">
      <c r="A26" s="1033" t="s">
        <v>574</v>
      </c>
      <c r="B26" s="1212" t="s">
        <v>1002</v>
      </c>
      <c r="C26" s="1037">
        <v>0</v>
      </c>
      <c r="D26" s="1037"/>
      <c r="E26" s="1037">
        <f>C26+D26</f>
        <v>0</v>
      </c>
      <c r="F26" s="1205"/>
      <c r="G26" s="1205"/>
      <c r="H26" s="1205"/>
      <c r="I26" s="1205"/>
      <c r="J26" s="1205"/>
    </row>
    <row r="27" spans="1:10" x14ac:dyDescent="0.2">
      <c r="A27" s="1033" t="s">
        <v>575</v>
      </c>
      <c r="B27" s="1212" t="s">
        <v>93</v>
      </c>
      <c r="C27" s="1037">
        <v>0</v>
      </c>
      <c r="D27" s="1037"/>
      <c r="E27" s="1037">
        <f t="shared" ref="E27:E29" si="1">SUM(C27:D27)</f>
        <v>0</v>
      </c>
      <c r="F27" s="1205"/>
      <c r="G27" s="1205"/>
      <c r="H27" s="1205"/>
      <c r="I27" s="1205"/>
      <c r="J27" s="1205"/>
    </row>
    <row r="28" spans="1:10" x14ac:dyDescent="0.2">
      <c r="A28" s="1033" t="s">
        <v>576</v>
      </c>
      <c r="B28" s="1212" t="s">
        <v>584</v>
      </c>
      <c r="C28" s="1037">
        <v>500</v>
      </c>
      <c r="D28" s="1037"/>
      <c r="E28" s="1037">
        <f t="shared" si="1"/>
        <v>500</v>
      </c>
      <c r="F28" s="1205"/>
      <c r="G28" s="1205"/>
      <c r="H28" s="1205"/>
      <c r="I28" s="1205"/>
      <c r="J28" s="1205"/>
    </row>
    <row r="29" spans="1:10" x14ac:dyDescent="0.2">
      <c r="A29" s="1033" t="s">
        <v>577</v>
      </c>
      <c r="B29" s="1212" t="s">
        <v>168</v>
      </c>
      <c r="C29" s="1037">
        <v>350</v>
      </c>
      <c r="D29" s="1037"/>
      <c r="E29" s="1037">
        <f t="shared" si="1"/>
        <v>350</v>
      </c>
      <c r="F29" s="1205"/>
      <c r="G29" s="1205"/>
      <c r="H29" s="1205"/>
      <c r="I29" s="1205"/>
      <c r="J29" s="1205"/>
    </row>
    <row r="30" spans="1:10" x14ac:dyDescent="0.2">
      <c r="A30" s="1033"/>
      <c r="B30" s="1212"/>
      <c r="C30" s="1037"/>
      <c r="D30" s="1037"/>
      <c r="E30" s="1037"/>
      <c r="F30" s="1205"/>
      <c r="G30" s="1205"/>
      <c r="H30" s="1205"/>
      <c r="I30" s="1205"/>
      <c r="J30" s="1205"/>
    </row>
    <row r="31" spans="1:10" x14ac:dyDescent="0.2">
      <c r="A31" s="1033"/>
      <c r="B31" s="1212"/>
      <c r="C31" s="1037"/>
      <c r="D31" s="1037"/>
      <c r="E31" s="1037"/>
      <c r="F31" s="1205"/>
      <c r="G31" s="1205"/>
      <c r="H31" s="1205"/>
      <c r="I31" s="1205"/>
      <c r="J31" s="1205"/>
    </row>
    <row r="32" spans="1:10" x14ac:dyDescent="0.2">
      <c r="A32" s="1033"/>
      <c r="B32" s="1212"/>
      <c r="C32" s="1037"/>
      <c r="D32" s="1037"/>
      <c r="E32" s="1037"/>
      <c r="F32" s="1205"/>
      <c r="G32" s="1205"/>
      <c r="H32" s="1205"/>
      <c r="I32" s="1205"/>
      <c r="J32" s="1205"/>
    </row>
    <row r="33" spans="1:10" x14ac:dyDescent="0.2">
      <c r="A33" s="1033" t="s">
        <v>578</v>
      </c>
      <c r="B33" s="1212"/>
      <c r="C33" s="1037"/>
      <c r="D33" s="1037"/>
      <c r="E33" s="1037"/>
      <c r="F33" s="1205"/>
      <c r="G33" s="1205"/>
      <c r="H33" s="1205"/>
      <c r="I33" s="1205"/>
      <c r="J33" s="1205"/>
    </row>
    <row r="34" spans="1:10" x14ac:dyDescent="0.2">
      <c r="A34" s="1033" t="s">
        <v>579</v>
      </c>
      <c r="B34" s="1211" t="s">
        <v>71</v>
      </c>
      <c r="C34" s="1035">
        <f>SUM(C35:C36)</f>
        <v>5065</v>
      </c>
      <c r="D34" s="1035">
        <f t="shared" ref="D34:E34" si="2">SUM(D35:D36)</f>
        <v>0</v>
      </c>
      <c r="E34" s="1035">
        <f t="shared" si="2"/>
        <v>5065</v>
      </c>
      <c r="F34" s="1205"/>
      <c r="G34" s="1205"/>
      <c r="H34" s="1205"/>
      <c r="I34" s="1205"/>
      <c r="J34" s="1205"/>
    </row>
    <row r="35" spans="1:10" x14ac:dyDescent="0.2">
      <c r="A35" s="1033" t="s">
        <v>580</v>
      </c>
      <c r="B35" s="1043" t="s">
        <v>94</v>
      </c>
      <c r="C35" s="1037">
        <v>5065</v>
      </c>
      <c r="D35" s="1037"/>
      <c r="E35" s="1037">
        <f t="shared" ref="E35:E36" si="3">C35+D35</f>
        <v>5065</v>
      </c>
      <c r="F35" s="1205"/>
      <c r="G35" s="1205"/>
      <c r="H35" s="1205"/>
      <c r="I35" s="1205"/>
      <c r="J35" s="1205"/>
    </row>
    <row r="36" spans="1:10" x14ac:dyDescent="0.2">
      <c r="A36" s="1033" t="s">
        <v>581</v>
      </c>
      <c r="B36" s="1213" t="s">
        <v>95</v>
      </c>
      <c r="C36" s="1037">
        <v>0</v>
      </c>
      <c r="D36" s="1037"/>
      <c r="E36" s="1037">
        <f t="shared" si="3"/>
        <v>0</v>
      </c>
      <c r="F36" s="1205"/>
      <c r="G36" s="1205"/>
      <c r="H36" s="1205"/>
      <c r="I36" s="1205"/>
      <c r="J36" s="1205"/>
    </row>
    <row r="37" spans="1:10" x14ac:dyDescent="0.2">
      <c r="A37" s="1033" t="s">
        <v>601</v>
      </c>
      <c r="B37" s="1057"/>
      <c r="C37" s="1037"/>
      <c r="D37" s="1037"/>
      <c r="E37" s="1037"/>
      <c r="F37" s="1205"/>
      <c r="G37" s="1205"/>
      <c r="H37" s="1205"/>
      <c r="I37" s="1205"/>
      <c r="J37" s="1205"/>
    </row>
    <row r="38" spans="1:10" x14ac:dyDescent="0.2">
      <c r="A38" s="1033" t="s">
        <v>602</v>
      </c>
      <c r="B38" s="1214" t="s">
        <v>1021</v>
      </c>
      <c r="C38" s="1035">
        <f>SUM(C39:C39)</f>
        <v>0</v>
      </c>
      <c r="D38" s="1035">
        <f>SUM(D39:D39)</f>
        <v>0</v>
      </c>
      <c r="E38" s="1035">
        <f>SUM(E39:E39)</f>
        <v>0</v>
      </c>
      <c r="F38" s="1205"/>
      <c r="G38" s="1205"/>
      <c r="H38" s="1205"/>
      <c r="I38" s="1205"/>
      <c r="J38" s="1205"/>
    </row>
    <row r="39" spans="1:10" x14ac:dyDescent="0.2">
      <c r="A39" s="1033" t="s">
        <v>603</v>
      </c>
      <c r="B39" s="1057"/>
      <c r="C39" s="1037"/>
      <c r="D39" s="1037"/>
      <c r="E39" s="1037"/>
      <c r="F39" s="1205"/>
      <c r="G39" s="1205"/>
      <c r="H39" s="1205"/>
      <c r="I39" s="1205"/>
      <c r="J39" s="1205"/>
    </row>
    <row r="40" spans="1:10" x14ac:dyDescent="0.2">
      <c r="A40" s="1033" t="s">
        <v>604</v>
      </c>
      <c r="B40" s="1053" t="s">
        <v>169</v>
      </c>
      <c r="C40" s="1035">
        <f>C22+C34+C38</f>
        <v>11657</v>
      </c>
      <c r="D40" s="1035">
        <f>D22+D34+D38</f>
        <v>0</v>
      </c>
      <c r="E40" s="1035">
        <f>E22+E34+E38</f>
        <v>11657</v>
      </c>
      <c r="F40" s="1205"/>
      <c r="G40" s="1205"/>
      <c r="H40" s="1205"/>
      <c r="I40" s="1205"/>
      <c r="J40" s="1205"/>
    </row>
    <row r="41" spans="1:10" x14ac:dyDescent="0.2">
      <c r="A41" s="1033" t="s">
        <v>605</v>
      </c>
      <c r="B41" s="1053"/>
      <c r="C41" s="1035"/>
      <c r="D41" s="1035"/>
      <c r="E41" s="1035"/>
      <c r="F41" s="1205"/>
      <c r="G41" s="1205"/>
      <c r="H41" s="1205"/>
      <c r="I41" s="1205"/>
      <c r="J41" s="1205"/>
    </row>
    <row r="42" spans="1:10" x14ac:dyDescent="0.2">
      <c r="A42" s="1033" t="s">
        <v>606</v>
      </c>
      <c r="B42" s="1043" t="s">
        <v>1022</v>
      </c>
      <c r="C42" s="1035"/>
      <c r="D42" s="1035"/>
      <c r="E42" s="1035"/>
      <c r="F42" s="1205"/>
      <c r="G42" s="1205"/>
      <c r="H42" s="1205"/>
      <c r="I42" s="1205"/>
      <c r="J42" s="1205"/>
    </row>
    <row r="43" spans="1:10" x14ac:dyDescent="0.2">
      <c r="A43" s="1033"/>
      <c r="B43" s="1043"/>
      <c r="C43" s="1035"/>
      <c r="D43" s="1035"/>
      <c r="E43" s="1035"/>
      <c r="F43" s="1205"/>
      <c r="G43" s="1205"/>
      <c r="H43" s="1205"/>
      <c r="I43" s="1205"/>
      <c r="J43" s="1205"/>
    </row>
    <row r="44" spans="1:10" x14ac:dyDescent="0.2">
      <c r="A44" s="1033" t="s">
        <v>607</v>
      </c>
      <c r="B44" s="1043"/>
      <c r="C44" s="1035"/>
      <c r="D44" s="1037"/>
      <c r="E44" s="1037"/>
      <c r="F44" s="1205"/>
      <c r="G44" s="1205"/>
      <c r="H44" s="1205"/>
      <c r="I44" s="1205"/>
      <c r="J44" s="1205"/>
    </row>
    <row r="45" spans="1:10" x14ac:dyDescent="0.2">
      <c r="A45" s="1033" t="s">
        <v>608</v>
      </c>
      <c r="B45" s="1053" t="s">
        <v>1022</v>
      </c>
      <c r="C45" s="1035">
        <f>C44</f>
        <v>0</v>
      </c>
      <c r="D45" s="1035">
        <f>SUM(D44:D44)</f>
        <v>0</v>
      </c>
      <c r="E45" s="1035">
        <f>SUM(E44:E44)</f>
        <v>0</v>
      </c>
      <c r="F45" s="1205"/>
      <c r="G45" s="1205"/>
      <c r="H45" s="1205"/>
      <c r="I45" s="1205"/>
      <c r="J45" s="1205"/>
    </row>
    <row r="46" spans="1:10" x14ac:dyDescent="0.2">
      <c r="A46" s="1033" t="s">
        <v>609</v>
      </c>
      <c r="B46" s="1053"/>
      <c r="C46" s="1035"/>
      <c r="D46" s="1035"/>
      <c r="E46" s="1035"/>
      <c r="F46" s="1205"/>
      <c r="G46" s="1205"/>
      <c r="H46" s="1205"/>
      <c r="I46" s="1205"/>
      <c r="J46" s="1205"/>
    </row>
    <row r="47" spans="1:10" x14ac:dyDescent="0.2">
      <c r="A47" s="1033" t="s">
        <v>664</v>
      </c>
      <c r="B47" s="1053" t="s">
        <v>96</v>
      </c>
      <c r="C47" s="1035">
        <f>C11+C18+C40+C19+C20</f>
        <v>734381</v>
      </c>
      <c r="D47" s="1035">
        <f>D11+D18+ID19+D20+D22+D34+D38+D45</f>
        <v>93769</v>
      </c>
      <c r="E47" s="1035">
        <f>E11+E18+IE19+E20+E22+E34+E38+E45+E19</f>
        <v>828150</v>
      </c>
      <c r="F47" s="1205"/>
      <c r="G47" s="1205"/>
      <c r="H47" s="1205"/>
      <c r="I47" s="1205"/>
      <c r="J47" s="1205"/>
    </row>
    <row r="48" spans="1:10" x14ac:dyDescent="0.2">
      <c r="A48" s="1033"/>
      <c r="B48" s="1053"/>
      <c r="C48" s="1035"/>
      <c r="D48" s="1035"/>
      <c r="E48" s="1035"/>
      <c r="F48" s="1205"/>
      <c r="G48" s="1205"/>
      <c r="H48" s="1205"/>
      <c r="I48" s="1205"/>
      <c r="J48" s="1205"/>
    </row>
    <row r="49" spans="1:10" x14ac:dyDescent="0.2">
      <c r="A49" s="1033"/>
      <c r="B49" s="1215" t="s">
        <v>349</v>
      </c>
      <c r="C49" s="1035"/>
      <c r="D49" s="1035"/>
      <c r="E49" s="1035"/>
      <c r="F49" s="1205"/>
      <c r="G49" s="1205"/>
      <c r="H49" s="1205"/>
      <c r="I49" s="1205"/>
      <c r="J49" s="1205"/>
    </row>
    <row r="50" spans="1:10" x14ac:dyDescent="0.2">
      <c r="A50" s="1033"/>
      <c r="B50" s="1043" t="s">
        <v>1249</v>
      </c>
      <c r="C50" s="1035"/>
      <c r="D50" s="1035"/>
      <c r="E50" s="1035"/>
      <c r="F50" s="1205"/>
      <c r="G50" s="1205"/>
      <c r="H50" s="1205"/>
      <c r="I50" s="1205"/>
      <c r="J50" s="1205"/>
    </row>
    <row r="51" spans="1:10" x14ac:dyDescent="0.2">
      <c r="A51" s="1033"/>
      <c r="B51" s="1053" t="s">
        <v>19</v>
      </c>
      <c r="C51" s="1035">
        <f>SUM(C50:C50)</f>
        <v>0</v>
      </c>
      <c r="D51" s="1035">
        <f t="shared" ref="D51:E51" si="4">SUM(D50:D50)</f>
        <v>0</v>
      </c>
      <c r="E51" s="1035">
        <f t="shared" si="4"/>
        <v>0</v>
      </c>
      <c r="F51" s="1205"/>
      <c r="G51" s="1205"/>
      <c r="H51" s="1205"/>
      <c r="I51" s="1205"/>
      <c r="J51" s="1205"/>
    </row>
    <row r="52" spans="1:10" x14ac:dyDescent="0.2">
      <c r="A52" s="1033"/>
      <c r="B52" s="1053" t="s">
        <v>1250</v>
      </c>
      <c r="C52" s="1035">
        <f>C51</f>
        <v>0</v>
      </c>
      <c r="D52" s="1035">
        <f t="shared" ref="D52:E52" si="5">D51</f>
        <v>0</v>
      </c>
      <c r="E52" s="1035">
        <f t="shared" si="5"/>
        <v>0</v>
      </c>
      <c r="F52" s="1205"/>
      <c r="G52" s="1205"/>
      <c r="H52" s="1205"/>
      <c r="I52" s="1205"/>
      <c r="J52" s="1205"/>
    </row>
    <row r="53" spans="1:10" x14ac:dyDescent="0.2">
      <c r="A53" s="1033"/>
      <c r="B53" s="1053"/>
      <c r="C53" s="1035"/>
      <c r="D53" s="1035"/>
      <c r="E53" s="1035"/>
      <c r="F53" s="1205"/>
      <c r="G53" s="1205"/>
      <c r="H53" s="1205"/>
      <c r="I53" s="1205"/>
      <c r="J53" s="1205"/>
    </row>
    <row r="54" spans="1:10" x14ac:dyDescent="0.2">
      <c r="A54" s="1033" t="s">
        <v>665</v>
      </c>
      <c r="B54" s="1053"/>
      <c r="C54" s="1035"/>
      <c r="D54" s="1035"/>
      <c r="E54" s="1035"/>
      <c r="F54" s="1205"/>
      <c r="G54" s="1205"/>
      <c r="H54" s="1205"/>
      <c r="I54" s="1205"/>
      <c r="J54" s="1205"/>
    </row>
    <row r="55" spans="1:10" x14ac:dyDescent="0.2">
      <c r="A55" s="1033" t="s">
        <v>666</v>
      </c>
      <c r="B55" s="1215" t="s">
        <v>708</v>
      </c>
      <c r="C55" s="1035"/>
      <c r="D55" s="1035"/>
      <c r="E55" s="1035"/>
      <c r="F55" s="1205"/>
      <c r="G55" s="1205"/>
      <c r="H55" s="1205"/>
      <c r="I55" s="1205"/>
      <c r="J55" s="1205"/>
    </row>
    <row r="56" spans="1:10" x14ac:dyDescent="0.2">
      <c r="A56" s="1033" t="s">
        <v>667</v>
      </c>
      <c r="B56" s="1043" t="s">
        <v>176</v>
      </c>
      <c r="C56" s="1037"/>
      <c r="D56" s="1037"/>
      <c r="E56" s="1037"/>
      <c r="F56" s="1205"/>
      <c r="G56" s="1205"/>
      <c r="H56" s="1205"/>
      <c r="I56" s="1205"/>
      <c r="J56" s="1205"/>
    </row>
    <row r="57" spans="1:10" x14ac:dyDescent="0.2">
      <c r="A57" s="1033" t="s">
        <v>125</v>
      </c>
      <c r="B57" s="1043" t="s">
        <v>177</v>
      </c>
      <c r="C57" s="1037"/>
      <c r="D57" s="1037"/>
      <c r="E57" s="1037"/>
      <c r="F57" s="1205"/>
      <c r="G57" s="1205"/>
      <c r="H57" s="1205"/>
      <c r="I57" s="1205"/>
      <c r="J57" s="1205"/>
    </row>
    <row r="58" spans="1:10" x14ac:dyDescent="0.2">
      <c r="A58" s="1033" t="s">
        <v>693</v>
      </c>
      <c r="B58" s="1053" t="s">
        <v>19</v>
      </c>
      <c r="C58" s="1035">
        <f>SUM(C56:C57)</f>
        <v>0</v>
      </c>
      <c r="D58" s="1035">
        <f>SUM(D56:D57)</f>
        <v>0</v>
      </c>
      <c r="E58" s="1035">
        <f>SUM(E56:E57)</f>
        <v>0</v>
      </c>
      <c r="F58" s="1205"/>
      <c r="G58" s="1205"/>
      <c r="H58" s="1205"/>
      <c r="I58" s="1205"/>
      <c r="J58" s="1205"/>
    </row>
    <row r="59" spans="1:10" x14ac:dyDescent="0.2">
      <c r="A59" s="1033" t="s">
        <v>694</v>
      </c>
      <c r="B59" s="1053" t="s">
        <v>178</v>
      </c>
      <c r="C59" s="1035">
        <f>C58</f>
        <v>0</v>
      </c>
      <c r="D59" s="1035">
        <f>D58</f>
        <v>0</v>
      </c>
      <c r="E59" s="1035">
        <f>E58</f>
        <v>0</v>
      </c>
      <c r="F59" s="1205"/>
      <c r="G59" s="1205"/>
      <c r="H59" s="1205"/>
      <c r="I59" s="1205"/>
      <c r="J59" s="1205"/>
    </row>
    <row r="60" spans="1:10" x14ac:dyDescent="0.2">
      <c r="A60" s="1033" t="s">
        <v>128</v>
      </c>
      <c r="B60" s="1053"/>
      <c r="C60" s="1037"/>
      <c r="D60" s="1037"/>
      <c r="E60" s="1037"/>
      <c r="F60" s="1205"/>
      <c r="G60" s="1205"/>
      <c r="H60" s="1205"/>
      <c r="I60" s="1205"/>
      <c r="J60" s="1205"/>
    </row>
    <row r="61" spans="1:10" x14ac:dyDescent="0.2">
      <c r="A61" s="1033" t="s">
        <v>129</v>
      </c>
      <c r="B61" s="1215" t="s">
        <v>98</v>
      </c>
      <c r="C61" s="1042"/>
      <c r="D61" s="1042"/>
      <c r="E61" s="1042"/>
      <c r="F61" s="1205"/>
      <c r="G61" s="1205"/>
      <c r="H61" s="1205"/>
      <c r="I61" s="1205"/>
      <c r="J61" s="1205"/>
    </row>
    <row r="62" spans="1:10" x14ac:dyDescent="0.2">
      <c r="A62" s="1033" t="s">
        <v>130</v>
      </c>
      <c r="B62" s="1053" t="s">
        <v>17</v>
      </c>
      <c r="C62" s="1042"/>
      <c r="D62" s="1042"/>
      <c r="E62" s="1042"/>
      <c r="F62" s="1205"/>
      <c r="G62" s="1205"/>
      <c r="H62" s="1205"/>
      <c r="I62" s="1205"/>
      <c r="J62" s="1205"/>
    </row>
    <row r="63" spans="1:10" x14ac:dyDescent="0.2">
      <c r="A63" s="1033" t="s">
        <v>133</v>
      </c>
      <c r="B63" s="1043" t="s">
        <v>97</v>
      </c>
      <c r="C63" s="1042">
        <v>10370</v>
      </c>
      <c r="D63" s="1042"/>
      <c r="E63" s="1042">
        <f>SUM(C63:D63)</f>
        <v>10370</v>
      </c>
      <c r="F63" s="1205"/>
      <c r="G63" s="1205"/>
      <c r="H63" s="1205"/>
      <c r="I63" s="1205"/>
      <c r="J63" s="1205"/>
    </row>
    <row r="64" spans="1:10" x14ac:dyDescent="0.2">
      <c r="A64" s="1033" t="s">
        <v>136</v>
      </c>
      <c r="B64" s="1043" t="s">
        <v>318</v>
      </c>
      <c r="C64" s="1042">
        <v>9089</v>
      </c>
      <c r="D64" s="1042"/>
      <c r="E64" s="1042">
        <f>SUM(C64:D64)</f>
        <v>9089</v>
      </c>
      <c r="F64" s="1205"/>
      <c r="G64" s="1205"/>
      <c r="H64" s="1205"/>
      <c r="I64" s="1205"/>
      <c r="J64" s="1205"/>
    </row>
    <row r="65" spans="1:10" x14ac:dyDescent="0.2">
      <c r="A65" s="1033" t="s">
        <v>137</v>
      </c>
      <c r="B65" s="1043" t="s">
        <v>319</v>
      </c>
      <c r="C65" s="1042">
        <v>432</v>
      </c>
      <c r="D65" s="1042"/>
      <c r="E65" s="1042">
        <f>SUM(C65:D65)</f>
        <v>432</v>
      </c>
      <c r="F65" s="1205"/>
      <c r="G65" s="1205"/>
      <c r="H65" s="1205"/>
      <c r="I65" s="1205"/>
      <c r="J65" s="1205"/>
    </row>
    <row r="66" spans="1:10" x14ac:dyDescent="0.2">
      <c r="A66" s="1033" t="s">
        <v>138</v>
      </c>
      <c r="B66" s="1043" t="s">
        <v>177</v>
      </c>
      <c r="C66" s="1042"/>
      <c r="D66" s="1042"/>
      <c r="E66" s="1042"/>
      <c r="F66" s="1205"/>
      <c r="G66" s="1205"/>
      <c r="H66" s="1205"/>
      <c r="I66" s="1205"/>
      <c r="J66" s="1205"/>
    </row>
    <row r="67" spans="1:10" x14ac:dyDescent="0.2">
      <c r="A67" s="1033" t="s">
        <v>139</v>
      </c>
      <c r="B67" s="1043" t="s">
        <v>176</v>
      </c>
      <c r="C67" s="1042"/>
      <c r="D67" s="1042"/>
      <c r="E67" s="1042"/>
      <c r="F67" s="1205"/>
      <c r="G67" s="1205"/>
      <c r="H67" s="1205"/>
      <c r="I67" s="1205"/>
      <c r="J67" s="1205"/>
    </row>
    <row r="68" spans="1:10" x14ac:dyDescent="0.2">
      <c r="A68" s="1033" t="s">
        <v>142</v>
      </c>
      <c r="B68" s="1053" t="s">
        <v>19</v>
      </c>
      <c r="C68" s="1049">
        <f>SUM(C63:C67)</f>
        <v>19891</v>
      </c>
      <c r="D68" s="1049">
        <f>SUM(D63:D67)</f>
        <v>0</v>
      </c>
      <c r="E68" s="1049">
        <f>SUM(E63:E67)</f>
        <v>19891</v>
      </c>
      <c r="F68" s="1205"/>
      <c r="G68" s="1205"/>
      <c r="H68" s="1205"/>
      <c r="I68" s="1205"/>
      <c r="J68" s="1205"/>
    </row>
    <row r="69" spans="1:10" x14ac:dyDescent="0.2">
      <c r="A69" s="1033" t="s">
        <v>145</v>
      </c>
      <c r="B69" s="1216" t="s">
        <v>99</v>
      </c>
      <c r="C69" s="1049">
        <f>C68</f>
        <v>19891</v>
      </c>
      <c r="D69" s="1049">
        <f>D68</f>
        <v>0</v>
      </c>
      <c r="E69" s="1049">
        <f>E68</f>
        <v>19891</v>
      </c>
      <c r="F69" s="1205"/>
      <c r="G69" s="1205"/>
      <c r="H69" s="1205"/>
      <c r="I69" s="1205"/>
      <c r="J69" s="1205"/>
    </row>
    <row r="70" spans="1:10" s="7" customFormat="1" x14ac:dyDescent="0.2">
      <c r="A70" s="1033" t="s">
        <v>148</v>
      </c>
      <c r="B70" s="1053"/>
      <c r="C70" s="1049"/>
      <c r="D70" s="1049"/>
      <c r="E70" s="1049"/>
      <c r="F70" s="1206"/>
      <c r="G70" s="1206"/>
      <c r="H70" s="1206"/>
      <c r="I70" s="1206"/>
      <c r="J70" s="1206"/>
    </row>
    <row r="71" spans="1:10" s="7" customFormat="1" x14ac:dyDescent="0.2">
      <c r="A71" s="1033" t="s">
        <v>149</v>
      </c>
      <c r="B71" s="1053" t="s">
        <v>18</v>
      </c>
      <c r="C71" s="1049">
        <f>C40+C58+C68+C51</f>
        <v>31548</v>
      </c>
      <c r="D71" s="1049">
        <f t="shared" ref="D71:E71" si="6">D40+D58+D68+D51</f>
        <v>0</v>
      </c>
      <c r="E71" s="1049">
        <f t="shared" si="6"/>
        <v>31548</v>
      </c>
      <c r="F71" s="1206"/>
      <c r="G71" s="1206"/>
      <c r="H71" s="1206"/>
      <c r="I71" s="1206"/>
      <c r="J71" s="1206"/>
    </row>
    <row r="72" spans="1:10" x14ac:dyDescent="0.2">
      <c r="A72" s="1033" t="s">
        <v>152</v>
      </c>
      <c r="B72" s="1053" t="s">
        <v>100</v>
      </c>
      <c r="C72" s="1035">
        <f>C45</f>
        <v>0</v>
      </c>
      <c r="D72" s="1035">
        <f>D45</f>
        <v>0</v>
      </c>
      <c r="E72" s="1035">
        <f>E45</f>
        <v>0</v>
      </c>
      <c r="F72" s="1205"/>
      <c r="G72" s="1205"/>
      <c r="H72" s="1205"/>
      <c r="I72" s="1205"/>
      <c r="J72" s="1205"/>
    </row>
    <row r="73" spans="1:10" ht="12" thickBot="1" x14ac:dyDescent="0.25">
      <c r="A73" s="684"/>
      <c r="B73" s="150"/>
      <c r="C73" s="1037"/>
      <c r="D73" s="1037"/>
      <c r="E73" s="1037"/>
      <c r="F73" s="1205"/>
      <c r="G73" s="1205"/>
      <c r="H73" s="1205"/>
      <c r="I73" s="1205"/>
      <c r="J73" s="1205"/>
    </row>
    <row r="74" spans="1:10" s="8" customFormat="1" ht="12" thickBot="1" x14ac:dyDescent="0.25">
      <c r="A74" s="685" t="s">
        <v>154</v>
      </c>
      <c r="B74" s="409" t="s">
        <v>102</v>
      </c>
      <c r="C74" s="1035">
        <f>C47+C69+C59+C52</f>
        <v>754272</v>
      </c>
      <c r="D74" s="1035">
        <f t="shared" ref="D74:E74" si="7">D47+D69+D59+D52</f>
        <v>93769</v>
      </c>
      <c r="E74" s="1035">
        <f t="shared" si="7"/>
        <v>848041</v>
      </c>
      <c r="F74" s="1038"/>
      <c r="G74" s="1038"/>
      <c r="H74" s="1038"/>
      <c r="I74" s="1038"/>
      <c r="J74" s="1038"/>
    </row>
    <row r="75" spans="1:10" s="8" customFormat="1" x14ac:dyDescent="0.2">
      <c r="A75" s="131"/>
      <c r="B75" s="127"/>
      <c r="C75" s="128"/>
      <c r="D75" s="453"/>
      <c r="E75" s="453"/>
      <c r="I75" s="231"/>
    </row>
    <row r="76" spans="1:10" x14ac:dyDescent="0.2">
      <c r="B76" s="127"/>
    </row>
    <row r="77" spans="1:10" x14ac:dyDescent="0.2">
      <c r="B77" s="127"/>
    </row>
    <row r="78" spans="1:10" x14ac:dyDescent="0.2">
      <c r="B78" s="150"/>
    </row>
    <row r="79" spans="1:10" x14ac:dyDescent="0.2">
      <c r="B79" s="150"/>
    </row>
    <row r="81" spans="2:2" x14ac:dyDescent="0.2">
      <c r="B81" s="150"/>
    </row>
    <row r="82" spans="2:2" x14ac:dyDescent="0.2">
      <c r="B82" s="150"/>
    </row>
    <row r="83" spans="2:2" x14ac:dyDescent="0.2">
      <c r="B83" s="150"/>
    </row>
    <row r="84" spans="2:2" x14ac:dyDescent="0.2">
      <c r="B84" s="150"/>
    </row>
    <row r="85" spans="2:2" x14ac:dyDescent="0.2">
      <c r="B85" s="150"/>
    </row>
    <row r="86" spans="2:2" x14ac:dyDescent="0.2">
      <c r="B86" s="127"/>
    </row>
    <row r="87" spans="2:2" x14ac:dyDescent="0.2">
      <c r="B87" s="150"/>
    </row>
    <row r="88" spans="2:2" x14ac:dyDescent="0.2">
      <c r="B88" s="150"/>
    </row>
    <row r="89" spans="2:2" x14ac:dyDescent="0.2">
      <c r="B89" s="150"/>
    </row>
    <row r="90" spans="2:2" x14ac:dyDescent="0.2">
      <c r="B90" s="150"/>
    </row>
  </sheetData>
  <sheetProtection selectLockedCells="1" selectUnlockedCells="1"/>
  <mergeCells count="10">
    <mergeCell ref="F7:G7"/>
    <mergeCell ref="H7:J7"/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8" scale="97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57" customWidth="1"/>
    <col min="2" max="2" width="9.85546875" style="157" hidden="1" customWidth="1"/>
    <col min="3" max="3" width="11.7109375" style="157" hidden="1" customWidth="1"/>
    <col min="4" max="4" width="9.85546875" style="157" hidden="1" customWidth="1"/>
    <col min="5" max="5" width="15.85546875" style="161" hidden="1" customWidth="1"/>
    <col min="6" max="6" width="16" style="4" customWidth="1"/>
    <col min="7" max="7" width="12.85546875" style="4" customWidth="1"/>
    <col min="8" max="8" width="10" style="4" bestFit="1" customWidth="1"/>
    <col min="9" max="9" width="11.42578125" style="4" bestFit="1" customWidth="1"/>
    <col min="10" max="10" width="10" style="4" bestFit="1" customWidth="1"/>
    <col min="11" max="12" width="11.42578125" style="4" bestFit="1" customWidth="1"/>
    <col min="13" max="14" width="8" style="4" customWidth="1"/>
    <col min="15" max="15" width="10.85546875" style="4" bestFit="1" customWidth="1"/>
    <col min="16" max="16" width="10.42578125" style="4" bestFit="1" customWidth="1"/>
    <col min="17" max="17" width="9.85546875" style="4" bestFit="1" customWidth="1"/>
    <col min="18" max="255" width="8" style="4" customWidth="1"/>
    <col min="256" max="16384" width="61.7109375" style="4"/>
  </cols>
  <sheetData>
    <row r="1" spans="1:256" ht="12.75" x14ac:dyDescent="0.2">
      <c r="A1" s="1323" t="s">
        <v>312</v>
      </c>
      <c r="B1" s="1323"/>
      <c r="C1" s="1323"/>
      <c r="D1" s="1323"/>
      <c r="E1" s="1323"/>
      <c r="F1" s="1323"/>
      <c r="G1" s="1323"/>
      <c r="H1" s="1323"/>
      <c r="I1" s="1323"/>
    </row>
    <row r="2" spans="1:256" x14ac:dyDescent="0.2">
      <c r="F2" s="1333"/>
      <c r="G2" s="1333"/>
      <c r="H2" s="1333"/>
      <c r="I2" s="1333"/>
    </row>
    <row r="4" spans="1:256" ht="30" customHeight="1" x14ac:dyDescent="0.2">
      <c r="A4" s="1334" t="s">
        <v>78</v>
      </c>
      <c r="B4" s="1334"/>
      <c r="C4" s="1334"/>
      <c r="D4" s="1334"/>
      <c r="E4" s="1334"/>
      <c r="F4" s="1335"/>
      <c r="G4" s="1335"/>
      <c r="H4" s="1335"/>
      <c r="I4" s="1335"/>
    </row>
    <row r="5" spans="1:256" ht="33" customHeight="1" x14ac:dyDescent="0.2">
      <c r="A5" s="1334" t="s">
        <v>1137</v>
      </c>
      <c r="B5" s="1334"/>
      <c r="C5" s="1334"/>
      <c r="D5" s="1334"/>
      <c r="E5" s="1334"/>
      <c r="F5" s="1335"/>
      <c r="G5" s="1335"/>
      <c r="H5" s="1335"/>
      <c r="I5" s="1335"/>
    </row>
    <row r="7" spans="1:256" ht="13.5" thickBot="1" x14ac:dyDescent="0.25">
      <c r="E7" s="438" t="s">
        <v>20</v>
      </c>
      <c r="F7" s="660"/>
    </row>
    <row r="8" spans="1:256" ht="30.75" customHeight="1" thickBot="1" x14ac:dyDescent="0.25">
      <c r="A8" s="1326" t="s">
        <v>79</v>
      </c>
      <c r="B8" s="1328" t="s">
        <v>116</v>
      </c>
      <c r="C8" s="1329"/>
      <c r="D8" s="1329"/>
      <c r="E8" s="1329"/>
      <c r="F8" s="1330" t="s">
        <v>1090</v>
      </c>
      <c r="G8" s="1331"/>
      <c r="H8" s="1331"/>
      <c r="I8" s="1332"/>
    </row>
    <row r="9" spans="1:256" ht="36.75" thickBot="1" x14ac:dyDescent="0.25">
      <c r="A9" s="1327"/>
      <c r="B9" s="226" t="s">
        <v>80</v>
      </c>
      <c r="C9" s="158" t="s">
        <v>81</v>
      </c>
      <c r="D9" s="158" t="s">
        <v>722</v>
      </c>
      <c r="E9" s="227" t="s">
        <v>82</v>
      </c>
      <c r="F9" s="226" t="s">
        <v>80</v>
      </c>
      <c r="G9" s="158" t="s">
        <v>81</v>
      </c>
      <c r="H9" s="158" t="s">
        <v>722</v>
      </c>
      <c r="I9" s="227" t="s">
        <v>82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</row>
    <row r="10" spans="1:256" ht="12.75" x14ac:dyDescent="0.2">
      <c r="A10" s="450" t="s">
        <v>83</v>
      </c>
      <c r="B10" s="451"/>
      <c r="C10" s="451"/>
      <c r="D10" s="451"/>
      <c r="E10" s="451"/>
      <c r="F10" s="452"/>
      <c r="G10" s="452"/>
      <c r="H10" s="452"/>
      <c r="I10" s="452"/>
      <c r="J10" s="473"/>
    </row>
    <row r="11" spans="1:256" ht="12.75" x14ac:dyDescent="0.2">
      <c r="A11" s="445" t="s">
        <v>862</v>
      </c>
      <c r="B11" s="542"/>
      <c r="C11" s="542"/>
      <c r="D11" s="542"/>
      <c r="E11" s="542"/>
      <c r="F11" s="599"/>
      <c r="G11" s="599"/>
      <c r="H11" s="599"/>
      <c r="I11" s="599"/>
      <c r="J11" s="473"/>
    </row>
    <row r="12" spans="1:256" ht="36" x14ac:dyDescent="0.2">
      <c r="A12" s="539" t="s">
        <v>863</v>
      </c>
      <c r="B12" s="542">
        <v>4865</v>
      </c>
      <c r="C12" s="600">
        <v>18.690000000000001</v>
      </c>
      <c r="D12" s="542">
        <v>4580000</v>
      </c>
      <c r="E12" s="542">
        <f>C12*D12</f>
        <v>85600200</v>
      </c>
      <c r="F12" s="640" t="s">
        <v>1091</v>
      </c>
      <c r="G12" s="440">
        <v>18.32</v>
      </c>
      <c r="H12" s="440">
        <v>4580000</v>
      </c>
      <c r="I12" s="441">
        <f>G12*H12</f>
        <v>83905600</v>
      </c>
      <c r="J12" s="473"/>
    </row>
    <row r="13" spans="1:256" ht="12.75" x14ac:dyDescent="0.2">
      <c r="A13" s="445" t="s">
        <v>864</v>
      </c>
      <c r="B13" s="542"/>
      <c r="C13" s="542"/>
      <c r="D13" s="542"/>
      <c r="E13" s="542"/>
      <c r="F13" s="499"/>
      <c r="G13" s="547"/>
      <c r="H13" s="547"/>
      <c r="I13" s="499"/>
      <c r="J13" s="473"/>
    </row>
    <row r="14" spans="1:256" ht="12.75" x14ac:dyDescent="0.2">
      <c r="A14" s="539" t="s">
        <v>865</v>
      </c>
      <c r="B14" s="542"/>
      <c r="C14" s="551"/>
      <c r="D14" s="542" t="s">
        <v>313</v>
      </c>
      <c r="E14" s="542">
        <v>8328800</v>
      </c>
      <c r="F14" s="499"/>
      <c r="G14" s="547"/>
      <c r="H14" s="440" t="s">
        <v>313</v>
      </c>
      <c r="I14" s="441">
        <v>8329050</v>
      </c>
      <c r="J14" s="473"/>
    </row>
    <row r="15" spans="1:256" ht="12.75" x14ac:dyDescent="0.2">
      <c r="A15" s="539" t="s">
        <v>866</v>
      </c>
      <c r="B15" s="442"/>
      <c r="C15" s="443"/>
      <c r="D15" s="442"/>
      <c r="E15" s="442"/>
      <c r="F15" s="441"/>
      <c r="G15" s="440"/>
      <c r="H15" s="440"/>
      <c r="I15" s="441">
        <v>-8329050</v>
      </c>
      <c r="J15" s="473"/>
    </row>
    <row r="16" spans="1:256" ht="24" x14ac:dyDescent="0.2">
      <c r="A16" s="539" t="s">
        <v>867</v>
      </c>
      <c r="B16" s="442"/>
      <c r="C16" s="443"/>
      <c r="D16" s="442"/>
      <c r="E16" s="442"/>
      <c r="F16" s="441"/>
      <c r="G16" s="440"/>
      <c r="H16" s="440"/>
      <c r="I16" s="441">
        <f>I14+I15</f>
        <v>0</v>
      </c>
      <c r="J16" s="473"/>
    </row>
    <row r="17" spans="1:10" ht="12.75" x14ac:dyDescent="0.2">
      <c r="A17" s="445" t="s">
        <v>868</v>
      </c>
      <c r="B17" s="542"/>
      <c r="C17" s="542"/>
      <c r="D17" s="603" t="s">
        <v>314</v>
      </c>
      <c r="E17" s="542">
        <v>18272000</v>
      </c>
      <c r="F17" s="499"/>
      <c r="G17" s="547"/>
      <c r="H17" s="440" t="s">
        <v>315</v>
      </c>
      <c r="I17" s="441">
        <v>18304000</v>
      </c>
      <c r="J17" s="473"/>
    </row>
    <row r="18" spans="1:10" ht="12.75" x14ac:dyDescent="0.2">
      <c r="A18" s="445" t="s">
        <v>866</v>
      </c>
      <c r="B18" s="442"/>
      <c r="C18" s="442"/>
      <c r="D18" s="541"/>
      <c r="E18" s="442"/>
      <c r="F18" s="441"/>
      <c r="G18" s="440"/>
      <c r="H18" s="440"/>
      <c r="I18" s="441">
        <v>-18304000</v>
      </c>
      <c r="J18" s="473"/>
    </row>
    <row r="19" spans="1:10" ht="12.75" x14ac:dyDescent="0.2">
      <c r="A19" s="445" t="s">
        <v>869</v>
      </c>
      <c r="B19" s="442"/>
      <c r="C19" s="442"/>
      <c r="D19" s="541"/>
      <c r="E19" s="442"/>
      <c r="F19" s="441"/>
      <c r="G19" s="440"/>
      <c r="H19" s="440"/>
      <c r="I19" s="441">
        <f>I17+I18</f>
        <v>0</v>
      </c>
      <c r="J19" s="473"/>
    </row>
    <row r="20" spans="1:10" ht="12.75" x14ac:dyDescent="0.2">
      <c r="A20" s="445" t="s">
        <v>870</v>
      </c>
      <c r="B20" s="542"/>
      <c r="C20" s="542" t="s">
        <v>871</v>
      </c>
      <c r="D20" s="543" t="s">
        <v>723</v>
      </c>
      <c r="E20" s="542">
        <v>1355022</v>
      </c>
      <c r="F20" s="499"/>
      <c r="G20" s="542"/>
      <c r="H20" s="544" t="s">
        <v>723</v>
      </c>
      <c r="I20" s="441">
        <v>1355022</v>
      </c>
      <c r="J20" s="473"/>
    </row>
    <row r="21" spans="1:10" ht="12.75" x14ac:dyDescent="0.2">
      <c r="A21" s="445" t="s">
        <v>872</v>
      </c>
      <c r="B21" s="442"/>
      <c r="C21" s="442"/>
      <c r="D21" s="544"/>
      <c r="E21" s="442"/>
      <c r="F21" s="441"/>
      <c r="G21" s="442"/>
      <c r="H21" s="544"/>
      <c r="I21" s="441">
        <v>-1355022</v>
      </c>
      <c r="J21" s="473"/>
    </row>
    <row r="22" spans="1:10" ht="12.75" x14ac:dyDescent="0.2">
      <c r="A22" s="445" t="s">
        <v>873</v>
      </c>
      <c r="B22" s="442"/>
      <c r="C22" s="442"/>
      <c r="D22" s="544"/>
      <c r="E22" s="442"/>
      <c r="F22" s="441"/>
      <c r="G22" s="442"/>
      <c r="H22" s="544"/>
      <c r="I22" s="441">
        <f>I20+I21</f>
        <v>0</v>
      </c>
      <c r="J22" s="473"/>
    </row>
    <row r="23" spans="1:10" ht="12.75" x14ac:dyDescent="0.2">
      <c r="A23" s="445" t="s">
        <v>874</v>
      </c>
      <c r="B23" s="542"/>
      <c r="C23" s="551"/>
      <c r="D23" s="603" t="s">
        <v>724</v>
      </c>
      <c r="E23" s="542">
        <v>6369620</v>
      </c>
      <c r="F23" s="499"/>
      <c r="G23" s="547"/>
      <c r="H23" s="541" t="s">
        <v>724</v>
      </c>
      <c r="I23" s="441">
        <v>6369620</v>
      </c>
      <c r="J23" s="473"/>
    </row>
    <row r="24" spans="1:10" ht="12.75" x14ac:dyDescent="0.2">
      <c r="A24" s="445" t="s">
        <v>872</v>
      </c>
      <c r="B24" s="442"/>
      <c r="C24" s="443"/>
      <c r="D24" s="541"/>
      <c r="E24" s="442"/>
      <c r="F24" s="441"/>
      <c r="G24" s="440"/>
      <c r="H24" s="541"/>
      <c r="I24" s="441">
        <v>-6369620</v>
      </c>
      <c r="J24" s="473"/>
    </row>
    <row r="25" spans="1:10" ht="12.75" x14ac:dyDescent="0.2">
      <c r="A25" s="445" t="s">
        <v>875</v>
      </c>
      <c r="B25" s="442"/>
      <c r="C25" s="443"/>
      <c r="D25" s="541"/>
      <c r="E25" s="442"/>
      <c r="F25" s="441"/>
      <c r="G25" s="440"/>
      <c r="H25" s="541"/>
      <c r="I25" s="441">
        <f>I23+I24</f>
        <v>0</v>
      </c>
      <c r="J25" s="473"/>
    </row>
    <row r="26" spans="1:10" ht="12.75" x14ac:dyDescent="0.2">
      <c r="A26" s="445" t="s">
        <v>876</v>
      </c>
      <c r="B26" s="542">
        <v>4865</v>
      </c>
      <c r="C26" s="542"/>
      <c r="D26" s="542">
        <v>2700</v>
      </c>
      <c r="E26" s="542">
        <f>B26*D26</f>
        <v>13135500</v>
      </c>
      <c r="F26" s="441">
        <v>4705</v>
      </c>
      <c r="G26" s="547"/>
      <c r="H26" s="442">
        <v>2700</v>
      </c>
      <c r="I26" s="441">
        <f>F26*H26</f>
        <v>12703500</v>
      </c>
      <c r="J26" s="473"/>
    </row>
    <row r="27" spans="1:10" ht="12.75" x14ac:dyDescent="0.2">
      <c r="A27" s="445" t="s">
        <v>877</v>
      </c>
      <c r="B27" s="442"/>
      <c r="C27" s="442"/>
      <c r="D27" s="442"/>
      <c r="E27" s="442">
        <v>-13135500</v>
      </c>
      <c r="F27" s="441"/>
      <c r="G27" s="440"/>
      <c r="H27" s="440"/>
      <c r="I27" s="441">
        <v>-12703500</v>
      </c>
      <c r="J27" s="473"/>
    </row>
    <row r="28" spans="1:10" ht="12.75" x14ac:dyDescent="0.2">
      <c r="A28" s="445" t="s">
        <v>878</v>
      </c>
      <c r="B28" s="442"/>
      <c r="C28" s="442"/>
      <c r="D28" s="442"/>
      <c r="E28" s="442">
        <f>E26+E27</f>
        <v>0</v>
      </c>
      <c r="F28" s="441"/>
      <c r="G28" s="440"/>
      <c r="H28" s="440"/>
      <c r="I28" s="441">
        <f>I26+I27</f>
        <v>0</v>
      </c>
      <c r="J28" s="473"/>
    </row>
    <row r="29" spans="1:10" ht="12.75" x14ac:dyDescent="0.2">
      <c r="A29" s="445" t="s">
        <v>879</v>
      </c>
      <c r="B29" s="542">
        <v>10</v>
      </c>
      <c r="C29" s="542"/>
      <c r="D29" s="542" t="s">
        <v>316</v>
      </c>
      <c r="E29" s="545">
        <v>25500</v>
      </c>
      <c r="F29" s="661">
        <v>21</v>
      </c>
      <c r="G29" s="547"/>
      <c r="H29" s="442" t="s">
        <v>316</v>
      </c>
      <c r="I29" s="661">
        <v>53550</v>
      </c>
      <c r="J29" s="473"/>
    </row>
    <row r="30" spans="1:10" ht="12.75" x14ac:dyDescent="0.2">
      <c r="A30" s="445" t="s">
        <v>880</v>
      </c>
      <c r="B30" s="442"/>
      <c r="C30" s="442"/>
      <c r="D30" s="442"/>
      <c r="E30" s="442">
        <v>-25500</v>
      </c>
      <c r="F30" s="441"/>
      <c r="G30" s="440"/>
      <c r="H30" s="440"/>
      <c r="I30" s="661">
        <v>-53550</v>
      </c>
      <c r="J30" s="473"/>
    </row>
    <row r="31" spans="1:10" ht="12.75" x14ac:dyDescent="0.2">
      <c r="A31" s="445" t="s">
        <v>881</v>
      </c>
      <c r="B31" s="542"/>
      <c r="C31" s="542"/>
      <c r="D31" s="542"/>
      <c r="E31" s="545">
        <v>0</v>
      </c>
      <c r="F31" s="499"/>
      <c r="G31" s="547"/>
      <c r="H31" s="547"/>
      <c r="I31" s="661">
        <f>I29+I30</f>
        <v>0</v>
      </c>
      <c r="J31" s="473"/>
    </row>
    <row r="32" spans="1:10" ht="12.75" x14ac:dyDescent="0.2">
      <c r="A32" s="602" t="s">
        <v>991</v>
      </c>
      <c r="B32" s="542"/>
      <c r="C32" s="542">
        <v>487729000</v>
      </c>
      <c r="D32" s="551">
        <v>1.55</v>
      </c>
      <c r="E32" s="542">
        <f>C32*D32</f>
        <v>755979950</v>
      </c>
      <c r="F32" s="499"/>
      <c r="G32" s="441">
        <v>540752027</v>
      </c>
      <c r="H32" s="443">
        <v>1</v>
      </c>
      <c r="I32" s="441">
        <f>G32*H32</f>
        <v>540752027</v>
      </c>
      <c r="J32" s="473"/>
    </row>
    <row r="33" spans="1:18" ht="12.75" x14ac:dyDescent="0.2">
      <c r="A33" s="445" t="s">
        <v>877</v>
      </c>
      <c r="B33" s="442"/>
      <c r="C33" s="442"/>
      <c r="D33" s="446"/>
      <c r="E33" s="442">
        <v>-98054262</v>
      </c>
      <c r="F33" s="441"/>
      <c r="G33" s="440"/>
      <c r="H33" s="440"/>
      <c r="I33" s="661">
        <v>-76318159</v>
      </c>
      <c r="J33" s="473"/>
    </row>
    <row r="34" spans="1:18" ht="12.75" x14ac:dyDescent="0.2">
      <c r="A34" s="445" t="s">
        <v>883</v>
      </c>
      <c r="B34" s="542"/>
      <c r="C34" s="542"/>
      <c r="D34" s="556"/>
      <c r="E34" s="542">
        <f>E32+E33</f>
        <v>657925688</v>
      </c>
      <c r="F34" s="499"/>
      <c r="G34" s="547"/>
      <c r="H34" s="547"/>
      <c r="I34" s="661">
        <f>I32+I33</f>
        <v>464433868</v>
      </c>
      <c r="J34" s="473"/>
    </row>
    <row r="35" spans="1:18" ht="12.75" x14ac:dyDescent="0.2">
      <c r="A35" s="546" t="s">
        <v>1092</v>
      </c>
      <c r="B35" s="542"/>
      <c r="C35" s="542"/>
      <c r="D35" s="542"/>
      <c r="E35" s="542">
        <v>0</v>
      </c>
      <c r="F35" s="499"/>
      <c r="G35" s="547"/>
      <c r="H35" s="547"/>
      <c r="I35" s="441">
        <v>0</v>
      </c>
      <c r="J35" s="473"/>
      <c r="K35" s="662">
        <f>I12+I16+I19+I25+I28+I31+I34+I35</f>
        <v>548339468</v>
      </c>
      <c r="L35" s="4" t="s">
        <v>959</v>
      </c>
    </row>
    <row r="36" spans="1:18" ht="24" x14ac:dyDescent="0.2">
      <c r="A36" s="539" t="s">
        <v>1093</v>
      </c>
      <c r="B36" s="542"/>
      <c r="C36" s="542"/>
      <c r="D36" s="542"/>
      <c r="E36" s="542"/>
      <c r="F36" s="499"/>
      <c r="G36" s="547"/>
      <c r="H36" s="547"/>
      <c r="I36" s="441">
        <v>0</v>
      </c>
      <c r="J36" s="473"/>
      <c r="K36" s="548"/>
    </row>
    <row r="37" spans="1:18" ht="12.75" x14ac:dyDescent="0.2">
      <c r="A37" s="546"/>
      <c r="B37" s="542"/>
      <c r="C37" s="542"/>
      <c r="D37" s="542"/>
      <c r="E37" s="542"/>
      <c r="F37" s="499"/>
      <c r="G37" s="547"/>
      <c r="H37" s="547"/>
      <c r="I37" s="499"/>
      <c r="J37" s="473"/>
      <c r="K37" s="548"/>
    </row>
    <row r="38" spans="1:18" ht="12.75" x14ac:dyDescent="0.2">
      <c r="A38" s="549" t="s">
        <v>84</v>
      </c>
      <c r="B38" s="542"/>
      <c r="C38" s="542"/>
      <c r="D38" s="542"/>
      <c r="E38" s="542"/>
      <c r="F38" s="499"/>
      <c r="G38" s="547"/>
      <c r="H38" s="547"/>
      <c r="I38" s="499"/>
      <c r="J38" s="473"/>
    </row>
    <row r="39" spans="1:18" ht="24" x14ac:dyDescent="0.2">
      <c r="A39" s="539" t="s">
        <v>885</v>
      </c>
      <c r="B39" s="542"/>
      <c r="C39" s="542"/>
      <c r="D39" s="542"/>
      <c r="E39" s="542"/>
      <c r="F39" s="499"/>
      <c r="G39" s="547"/>
      <c r="H39" s="547"/>
      <c r="I39" s="499"/>
      <c r="J39" s="473"/>
    </row>
    <row r="40" spans="1:18" ht="12.75" x14ac:dyDescent="0.2">
      <c r="A40" s="539" t="s">
        <v>886</v>
      </c>
      <c r="B40" s="542"/>
      <c r="C40" s="551">
        <v>13.1</v>
      </c>
      <c r="D40" s="542">
        <v>4152000</v>
      </c>
      <c r="E40" s="542">
        <f>C40*D40*8/12</f>
        <v>36260800</v>
      </c>
      <c r="F40" s="663" t="s">
        <v>1138</v>
      </c>
      <c r="G40" s="664">
        <v>12.5</v>
      </c>
      <c r="H40" s="656">
        <v>4419000</v>
      </c>
      <c r="I40" s="661">
        <f>G40*8/12*4419000</f>
        <v>36825000</v>
      </c>
      <c r="J40" s="473"/>
    </row>
    <row r="41" spans="1:18" ht="12.75" x14ac:dyDescent="0.2">
      <c r="A41" s="539" t="s">
        <v>887</v>
      </c>
      <c r="B41" s="542"/>
      <c r="C41" s="551">
        <v>13.1</v>
      </c>
      <c r="D41" s="552">
        <v>4152000</v>
      </c>
      <c r="E41" s="542">
        <f>C41*D41*4/12</f>
        <v>18130400</v>
      </c>
      <c r="F41" s="663" t="s">
        <v>1138</v>
      </c>
      <c r="G41" s="665">
        <v>12.5</v>
      </c>
      <c r="H41" s="656">
        <v>4419000</v>
      </c>
      <c r="I41" s="661">
        <f>G41*4/12*H41</f>
        <v>18412500</v>
      </c>
      <c r="J41" s="473"/>
    </row>
    <row r="42" spans="1:18" ht="24" x14ac:dyDescent="0.2">
      <c r="A42" s="539" t="s">
        <v>888</v>
      </c>
      <c r="B42" s="542"/>
      <c r="C42" s="542">
        <v>10</v>
      </c>
      <c r="D42" s="542">
        <v>1800000</v>
      </c>
      <c r="E42" s="545">
        <f>C42*D42*8/12</f>
        <v>12000000</v>
      </c>
      <c r="F42" s="601"/>
      <c r="G42" s="550">
        <v>9</v>
      </c>
      <c r="H42" s="656">
        <v>2205000</v>
      </c>
      <c r="I42" s="441">
        <f>G42*H42*8/12</f>
        <v>13230000</v>
      </c>
      <c r="J42" s="473"/>
    </row>
    <row r="43" spans="1:18" ht="24" x14ac:dyDescent="0.2">
      <c r="A43" s="539" t="s">
        <v>992</v>
      </c>
      <c r="B43" s="542"/>
      <c r="C43" s="542"/>
      <c r="D43" s="542"/>
      <c r="E43" s="545"/>
      <c r="F43" s="499"/>
      <c r="G43" s="550">
        <v>0</v>
      </c>
      <c r="H43" s="656">
        <v>4419000</v>
      </c>
      <c r="I43" s="441">
        <f>G43*H43*8/12</f>
        <v>0</v>
      </c>
      <c r="J43" s="473"/>
    </row>
    <row r="44" spans="1:18" ht="24" x14ac:dyDescent="0.2">
      <c r="A44" s="539" t="s">
        <v>890</v>
      </c>
      <c r="B44" s="542"/>
      <c r="C44" s="542">
        <v>10</v>
      </c>
      <c r="D44" s="542">
        <v>1800000</v>
      </c>
      <c r="E44" s="542">
        <f>C44*D44*4/12</f>
        <v>6000000</v>
      </c>
      <c r="F44" s="499"/>
      <c r="G44" s="550">
        <v>9</v>
      </c>
      <c r="H44" s="656">
        <v>2205000</v>
      </c>
      <c r="I44" s="441">
        <f>G44*H44*4/12</f>
        <v>6615000</v>
      </c>
      <c r="J44" s="474"/>
    </row>
    <row r="45" spans="1:18" ht="39" x14ac:dyDescent="0.2">
      <c r="A45" s="539" t="s">
        <v>993</v>
      </c>
      <c r="B45" s="542"/>
      <c r="C45" s="542"/>
      <c r="D45" s="542"/>
      <c r="E45" s="542"/>
      <c r="F45" s="499"/>
      <c r="G45" s="550">
        <v>0</v>
      </c>
      <c r="H45" s="656">
        <v>4419000</v>
      </c>
      <c r="I45" s="441">
        <f>G45*H45*4/12</f>
        <v>0</v>
      </c>
      <c r="J45" s="474"/>
      <c r="K45" s="645" t="s">
        <v>960</v>
      </c>
      <c r="L45" s="548">
        <f>I12+I14+I17+I20+I23+I26+I29+I32</f>
        <v>671772369</v>
      </c>
      <c r="N45" s="646" t="s">
        <v>1139</v>
      </c>
      <c r="O45" s="548">
        <v>123432901</v>
      </c>
      <c r="P45" s="548">
        <f>I15+I18+I21+I24+I27+I30</f>
        <v>-47114742</v>
      </c>
      <c r="Q45" s="548">
        <f>O45+P45</f>
        <v>76318159</v>
      </c>
      <c r="R45" s="646" t="s">
        <v>961</v>
      </c>
    </row>
    <row r="46" spans="1:18" ht="12.75" x14ac:dyDescent="0.2">
      <c r="A46" s="445" t="s">
        <v>893</v>
      </c>
      <c r="B46" s="542"/>
      <c r="C46" s="542"/>
      <c r="D46" s="542"/>
      <c r="E46" s="542"/>
      <c r="F46" s="499"/>
      <c r="G46" s="547"/>
      <c r="H46" s="547"/>
      <c r="I46" s="499"/>
      <c r="J46" s="473"/>
    </row>
    <row r="47" spans="1:18" ht="24" x14ac:dyDescent="0.2">
      <c r="A47" s="539" t="s">
        <v>994</v>
      </c>
      <c r="B47" s="542"/>
      <c r="C47" s="542">
        <v>142</v>
      </c>
      <c r="D47" s="542">
        <v>70000</v>
      </c>
      <c r="E47" s="542">
        <f>C47*D47*8/12</f>
        <v>6626666.666666667</v>
      </c>
      <c r="F47" s="640"/>
      <c r="G47" s="661">
        <v>138</v>
      </c>
      <c r="H47" s="442">
        <v>81700</v>
      </c>
      <c r="I47" s="661">
        <f>G47*H47*8/12</f>
        <v>7516400</v>
      </c>
      <c r="J47" s="473"/>
    </row>
    <row r="48" spans="1:18" ht="24" x14ac:dyDescent="0.2">
      <c r="A48" s="539" t="s">
        <v>995</v>
      </c>
      <c r="B48" s="542"/>
      <c r="C48" s="542"/>
      <c r="D48" s="542"/>
      <c r="E48" s="542"/>
      <c r="F48" s="640"/>
      <c r="G48" s="441">
        <v>0</v>
      </c>
      <c r="H48" s="442">
        <v>80000</v>
      </c>
      <c r="I48" s="441">
        <v>0</v>
      </c>
      <c r="J48" s="473"/>
    </row>
    <row r="49" spans="1:12" ht="24" x14ac:dyDescent="0.2">
      <c r="A49" s="539" t="s">
        <v>942</v>
      </c>
      <c r="B49" s="542"/>
      <c r="C49" s="542">
        <v>142</v>
      </c>
      <c r="D49" s="542">
        <v>70000</v>
      </c>
      <c r="E49" s="542">
        <f>C49*D49*4/12</f>
        <v>3313333.3333333335</v>
      </c>
      <c r="F49" s="601"/>
      <c r="G49" s="441">
        <v>138</v>
      </c>
      <c r="H49" s="442">
        <v>81700</v>
      </c>
      <c r="I49" s="661">
        <f>G49*H49*4/12</f>
        <v>3758200</v>
      </c>
      <c r="J49" s="473"/>
    </row>
    <row r="50" spans="1:12" ht="24" x14ac:dyDescent="0.2">
      <c r="A50" s="539" t="s">
        <v>996</v>
      </c>
      <c r="B50" s="542"/>
      <c r="C50" s="542"/>
      <c r="D50" s="542"/>
      <c r="E50" s="542"/>
      <c r="F50" s="601"/>
      <c r="G50" s="441">
        <v>0</v>
      </c>
      <c r="H50" s="442">
        <v>80000</v>
      </c>
      <c r="I50" s="441">
        <v>0</v>
      </c>
      <c r="J50" s="473"/>
    </row>
    <row r="51" spans="1:12" ht="12.75" x14ac:dyDescent="0.2">
      <c r="A51" s="445" t="s">
        <v>943</v>
      </c>
      <c r="B51" s="542"/>
      <c r="C51" s="542"/>
      <c r="D51" s="542"/>
      <c r="E51" s="542"/>
      <c r="F51" s="499"/>
      <c r="G51" s="547"/>
      <c r="H51" s="547"/>
      <c r="I51" s="499"/>
      <c r="J51" s="473"/>
    </row>
    <row r="52" spans="1:12" ht="48" x14ac:dyDescent="0.2">
      <c r="A52" s="539" t="s">
        <v>1094</v>
      </c>
      <c r="B52" s="542"/>
      <c r="C52" s="542">
        <v>5</v>
      </c>
      <c r="D52" s="605" t="s">
        <v>317</v>
      </c>
      <c r="E52" s="542">
        <v>1760000</v>
      </c>
      <c r="F52" s="499"/>
      <c r="G52" s="666">
        <v>4</v>
      </c>
      <c r="H52" s="441">
        <v>401000</v>
      </c>
      <c r="I52" s="661">
        <f>G52*H52</f>
        <v>1604000</v>
      </c>
      <c r="J52" s="473"/>
    </row>
    <row r="53" spans="1:12" ht="48" x14ac:dyDescent="0.2">
      <c r="A53" s="539" t="s">
        <v>1095</v>
      </c>
      <c r="B53" s="542"/>
      <c r="C53" s="542"/>
      <c r="D53" s="542"/>
      <c r="E53" s="542"/>
      <c r="F53" s="499"/>
      <c r="G53" s="440">
        <v>0</v>
      </c>
      <c r="H53" s="441">
        <v>367583</v>
      </c>
      <c r="I53" s="441">
        <f>G53*H53</f>
        <v>0</v>
      </c>
      <c r="J53" s="473"/>
      <c r="K53" s="662">
        <f>SUM(I40:I53)</f>
        <v>87961100</v>
      </c>
      <c r="L53" s="4" t="s">
        <v>962</v>
      </c>
    </row>
    <row r="54" spans="1:12" ht="12.75" x14ac:dyDescent="0.2">
      <c r="A54" s="539"/>
      <c r="B54" s="542"/>
      <c r="C54" s="542"/>
      <c r="D54" s="542"/>
      <c r="E54" s="542"/>
      <c r="F54" s="499"/>
      <c r="G54" s="547"/>
      <c r="H54" s="547"/>
      <c r="I54" s="499"/>
      <c r="J54" s="473"/>
      <c r="K54" s="548"/>
    </row>
    <row r="55" spans="1:12" ht="12.75" x14ac:dyDescent="0.2">
      <c r="A55" s="549" t="s">
        <v>85</v>
      </c>
      <c r="B55" s="542"/>
      <c r="C55" s="542"/>
      <c r="D55" s="542"/>
      <c r="E55" s="542"/>
      <c r="F55" s="499"/>
      <c r="G55" s="547"/>
      <c r="H55" s="547"/>
      <c r="I55" s="499"/>
      <c r="J55" s="473"/>
    </row>
    <row r="56" spans="1:12" ht="12.75" x14ac:dyDescent="0.2">
      <c r="A56" s="546" t="s">
        <v>1096</v>
      </c>
      <c r="B56" s="542"/>
      <c r="C56" s="542"/>
      <c r="D56" s="542"/>
      <c r="E56" s="542">
        <v>0</v>
      </c>
      <c r="F56" s="499"/>
      <c r="G56" s="547"/>
      <c r="H56" s="547"/>
      <c r="I56" s="441">
        <v>0</v>
      </c>
      <c r="J56" s="475"/>
    </row>
    <row r="57" spans="1:12" ht="24" x14ac:dyDescent="0.2">
      <c r="A57" s="539" t="s">
        <v>903</v>
      </c>
      <c r="B57" s="542"/>
      <c r="C57" s="542"/>
      <c r="D57" s="542"/>
      <c r="E57" s="545">
        <v>0</v>
      </c>
      <c r="F57" s="499"/>
      <c r="G57" s="547"/>
      <c r="H57" s="547"/>
      <c r="I57" s="441">
        <v>0</v>
      </c>
      <c r="J57" s="473"/>
    </row>
    <row r="58" spans="1:12" ht="12.75" x14ac:dyDescent="0.2">
      <c r="A58" s="445" t="s">
        <v>904</v>
      </c>
      <c r="B58" s="542"/>
      <c r="C58" s="542"/>
      <c r="D58" s="542"/>
      <c r="E58" s="542"/>
      <c r="F58" s="499"/>
      <c r="G58" s="547"/>
      <c r="H58" s="547"/>
      <c r="I58" s="499"/>
      <c r="J58" s="473"/>
    </row>
    <row r="59" spans="1:12" ht="12.75" x14ac:dyDescent="0.2">
      <c r="A59" s="445" t="s">
        <v>905</v>
      </c>
      <c r="B59" s="542"/>
      <c r="C59" s="542"/>
      <c r="D59" s="542"/>
      <c r="E59" s="542"/>
      <c r="F59" s="499"/>
      <c r="G59" s="547"/>
      <c r="H59" s="547"/>
      <c r="I59" s="499"/>
      <c r="J59" s="473"/>
    </row>
    <row r="60" spans="1:12" ht="12.75" x14ac:dyDescent="0.2">
      <c r="A60" s="445" t="s">
        <v>906</v>
      </c>
      <c r="B60" s="542"/>
      <c r="C60" s="542"/>
      <c r="D60" s="542"/>
      <c r="E60" s="542"/>
      <c r="F60" s="499"/>
      <c r="G60" s="547"/>
      <c r="H60" s="547"/>
      <c r="I60" s="499"/>
      <c r="J60" s="473"/>
    </row>
    <row r="61" spans="1:12" ht="36" x14ac:dyDescent="0.2">
      <c r="A61" s="553" t="s">
        <v>1097</v>
      </c>
      <c r="B61" s="546"/>
      <c r="C61" s="555"/>
      <c r="D61" s="542"/>
      <c r="E61" s="542">
        <f>C61*D61/2</f>
        <v>0</v>
      </c>
      <c r="F61" s="442">
        <v>7822</v>
      </c>
      <c r="G61" s="556"/>
      <c r="H61" s="547"/>
      <c r="I61" s="499"/>
      <c r="J61" s="475"/>
    </row>
    <row r="62" spans="1:12" ht="24" x14ac:dyDescent="0.2">
      <c r="A62" s="539" t="s">
        <v>944</v>
      </c>
      <c r="B62" s="542"/>
      <c r="C62" s="546"/>
      <c r="D62" s="542"/>
      <c r="E62" s="542"/>
      <c r="F62" s="499"/>
      <c r="G62" s="447">
        <v>0</v>
      </c>
      <c r="H62" s="547"/>
      <c r="I62" s="499"/>
      <c r="J62" s="475"/>
    </row>
    <row r="63" spans="1:12" ht="12.75" x14ac:dyDescent="0.2">
      <c r="A63" s="445" t="s">
        <v>945</v>
      </c>
      <c r="B63" s="542"/>
      <c r="C63" s="546"/>
      <c r="D63" s="542"/>
      <c r="E63" s="542"/>
      <c r="F63" s="499"/>
      <c r="G63" s="446">
        <v>1</v>
      </c>
      <c r="H63" s="547"/>
      <c r="I63" s="499"/>
      <c r="J63" s="473"/>
    </row>
    <row r="64" spans="1:12" ht="12.75" x14ac:dyDescent="0.2">
      <c r="A64" s="445" t="s">
        <v>910</v>
      </c>
      <c r="B64" s="542"/>
      <c r="C64" s="557">
        <v>0.97299999999999998</v>
      </c>
      <c r="D64" s="542">
        <v>3000000</v>
      </c>
      <c r="E64" s="542"/>
      <c r="F64" s="499"/>
      <c r="G64" s="446">
        <v>2</v>
      </c>
      <c r="H64" s="442">
        <v>3000000</v>
      </c>
      <c r="I64" s="441">
        <f>(2*1+0)*3000000</f>
        <v>6000000</v>
      </c>
      <c r="J64" s="473"/>
    </row>
    <row r="65" spans="1:12" ht="12.75" x14ac:dyDescent="0.2">
      <c r="A65" s="445" t="s">
        <v>911</v>
      </c>
      <c r="B65" s="558"/>
      <c r="C65" s="542">
        <v>80</v>
      </c>
      <c r="D65" s="542">
        <v>55360</v>
      </c>
      <c r="E65" s="542">
        <f>C65*D65</f>
        <v>4428800</v>
      </c>
      <c r="F65" s="601"/>
      <c r="G65" s="442">
        <v>80</v>
      </c>
      <c r="H65" s="442">
        <v>55360</v>
      </c>
      <c r="I65" s="442">
        <f>G65*H65</f>
        <v>4428800</v>
      </c>
      <c r="J65" s="473"/>
    </row>
    <row r="66" spans="1:12" ht="12.75" x14ac:dyDescent="0.2">
      <c r="A66" s="445" t="s">
        <v>912</v>
      </c>
      <c r="B66" s="558"/>
      <c r="C66" s="542">
        <v>55</v>
      </c>
      <c r="D66" s="542">
        <v>145000</v>
      </c>
      <c r="E66" s="542">
        <f>C66*D66</f>
        <v>7975000</v>
      </c>
      <c r="F66" s="499"/>
      <c r="G66" s="542"/>
      <c r="H66" s="542"/>
      <c r="I66" s="542"/>
      <c r="J66" s="473"/>
    </row>
    <row r="67" spans="1:12" ht="12.75" x14ac:dyDescent="0.2">
      <c r="A67" s="445" t="s">
        <v>946</v>
      </c>
      <c r="B67" s="558"/>
      <c r="C67" s="542"/>
      <c r="D67" s="542"/>
      <c r="E67" s="542"/>
      <c r="F67" s="601"/>
      <c r="G67" s="667">
        <v>5</v>
      </c>
      <c r="H67" s="442">
        <v>25000</v>
      </c>
      <c r="I67" s="667">
        <f>G67*H67</f>
        <v>125000</v>
      </c>
      <c r="J67" s="473"/>
    </row>
    <row r="68" spans="1:12" ht="12.75" x14ac:dyDescent="0.2">
      <c r="A68" s="445" t="s">
        <v>947</v>
      </c>
      <c r="B68" s="558"/>
      <c r="C68" s="542"/>
      <c r="D68" s="542"/>
      <c r="E68" s="542"/>
      <c r="F68" s="601"/>
      <c r="G68" s="667">
        <v>49</v>
      </c>
      <c r="H68" s="442">
        <v>210000</v>
      </c>
      <c r="I68" s="667">
        <f>G68*H68</f>
        <v>10290000</v>
      </c>
      <c r="J68" s="473"/>
    </row>
    <row r="69" spans="1:12" ht="12.75" x14ac:dyDescent="0.2">
      <c r="A69" s="539" t="s">
        <v>948</v>
      </c>
      <c r="B69" s="606"/>
      <c r="C69" s="442">
        <v>23</v>
      </c>
      <c r="D69" s="442">
        <v>109000</v>
      </c>
      <c r="E69" s="442">
        <f>C69*D69</f>
        <v>2507000</v>
      </c>
      <c r="F69" s="441"/>
      <c r="G69" s="667">
        <v>25</v>
      </c>
      <c r="H69" s="442">
        <v>109000</v>
      </c>
      <c r="I69" s="667">
        <f>G69*H69</f>
        <v>2725000</v>
      </c>
      <c r="J69" s="473"/>
    </row>
    <row r="70" spans="1:12" ht="12.75" x14ac:dyDescent="0.2">
      <c r="A70" s="539" t="s">
        <v>914</v>
      </c>
      <c r="B70" s="606"/>
      <c r="C70" s="442"/>
      <c r="D70" s="442"/>
      <c r="E70" s="442"/>
      <c r="F70" s="441"/>
      <c r="G70" s="440"/>
      <c r="H70" s="440"/>
      <c r="I70" s="441"/>
      <c r="J70" s="473"/>
    </row>
    <row r="71" spans="1:12" ht="24" x14ac:dyDescent="0.2">
      <c r="A71" s="539" t="s">
        <v>1098</v>
      </c>
      <c r="B71" s="558"/>
      <c r="C71" s="542"/>
      <c r="D71" s="542"/>
      <c r="E71" s="542"/>
      <c r="F71" s="499"/>
      <c r="G71" s="547"/>
      <c r="H71" s="547"/>
      <c r="I71" s="499"/>
      <c r="J71" s="473"/>
    </row>
    <row r="72" spans="1:12" ht="24" x14ac:dyDescent="0.2">
      <c r="A72" s="553" t="s">
        <v>963</v>
      </c>
      <c r="B72" s="558"/>
      <c r="C72" s="542">
        <v>15</v>
      </c>
      <c r="D72" s="542">
        <v>2606040</v>
      </c>
      <c r="E72" s="542">
        <f>C72*D72</f>
        <v>39090600</v>
      </c>
      <c r="F72" s="601"/>
      <c r="G72" s="442">
        <v>15</v>
      </c>
      <c r="H72" s="442">
        <v>2606040</v>
      </c>
      <c r="I72" s="442">
        <f>G72*H72</f>
        <v>39090600</v>
      </c>
      <c r="J72" s="473"/>
    </row>
    <row r="73" spans="1:12" ht="36" x14ac:dyDescent="0.2">
      <c r="A73" s="445" t="s">
        <v>919</v>
      </c>
      <c r="B73" s="558"/>
      <c r="C73" s="542"/>
      <c r="D73" s="542"/>
      <c r="E73" s="545">
        <v>37834000</v>
      </c>
      <c r="F73" s="601" t="s">
        <v>1099</v>
      </c>
      <c r="G73" s="547"/>
      <c r="H73" s="547"/>
      <c r="I73" s="499">
        <v>30040000</v>
      </c>
      <c r="J73" s="477"/>
    </row>
    <row r="74" spans="1:12" ht="12.75" x14ac:dyDescent="0.2">
      <c r="A74" s="445" t="s">
        <v>1100</v>
      </c>
      <c r="B74" s="558"/>
      <c r="C74" s="542"/>
      <c r="D74" s="542"/>
      <c r="E74" s="542"/>
      <c r="F74" s="499"/>
      <c r="G74" s="547"/>
      <c r="H74" s="547"/>
      <c r="I74" s="499"/>
      <c r="J74" s="473"/>
    </row>
    <row r="75" spans="1:12" ht="12.75" x14ac:dyDescent="0.2">
      <c r="A75" s="445" t="s">
        <v>1101</v>
      </c>
      <c r="B75" s="542"/>
      <c r="C75" s="551">
        <v>12.33</v>
      </c>
      <c r="D75" s="542">
        <v>1632000</v>
      </c>
      <c r="E75" s="542">
        <f>C75*D75</f>
        <v>20122560</v>
      </c>
      <c r="F75" s="668" t="s">
        <v>1140</v>
      </c>
      <c r="G75" s="443">
        <v>14.4</v>
      </c>
      <c r="H75" s="657">
        <v>1900000</v>
      </c>
      <c r="I75" s="442">
        <f>G75*H75</f>
        <v>27360000</v>
      </c>
      <c r="J75" s="478"/>
    </row>
    <row r="76" spans="1:12" ht="36" x14ac:dyDescent="0.2">
      <c r="A76" s="445" t="s">
        <v>1102</v>
      </c>
      <c r="B76" s="542"/>
      <c r="C76" s="542"/>
      <c r="D76" s="542"/>
      <c r="E76" s="545">
        <v>7038795</v>
      </c>
      <c r="F76" s="601" t="s">
        <v>1099</v>
      </c>
      <c r="G76" s="547"/>
      <c r="H76" s="547"/>
      <c r="I76" s="499">
        <v>13278900</v>
      </c>
      <c r="J76" s="479"/>
    </row>
    <row r="77" spans="1:12" ht="24" x14ac:dyDescent="0.2">
      <c r="A77" s="539" t="s">
        <v>1103</v>
      </c>
      <c r="B77" s="542"/>
      <c r="C77" s="542"/>
      <c r="D77" s="542"/>
      <c r="E77" s="545"/>
      <c r="F77" s="601"/>
      <c r="G77" s="661">
        <v>0</v>
      </c>
      <c r="H77" s="441">
        <v>285</v>
      </c>
      <c r="I77" s="661">
        <f>G77*H77</f>
        <v>0</v>
      </c>
      <c r="J77" s="473"/>
    </row>
    <row r="78" spans="1:12" ht="12.75" x14ac:dyDescent="0.2">
      <c r="A78" s="539" t="s">
        <v>1104</v>
      </c>
      <c r="B78" s="542"/>
      <c r="C78" s="542"/>
      <c r="D78" s="542"/>
      <c r="E78" s="561"/>
      <c r="F78" s="601"/>
      <c r="G78" s="604"/>
      <c r="H78" s="441"/>
      <c r="I78" s="441"/>
      <c r="J78" s="473"/>
      <c r="K78" s="548">
        <f>SUM(I56:I82)</f>
        <v>147563700</v>
      </c>
      <c r="L78" s="4" t="s">
        <v>964</v>
      </c>
    </row>
    <row r="79" spans="1:12" ht="12.75" x14ac:dyDescent="0.2">
      <c r="A79" s="539" t="s">
        <v>1105</v>
      </c>
      <c r="B79" s="542"/>
      <c r="C79" s="542"/>
      <c r="D79" s="542"/>
      <c r="E79" s="561"/>
      <c r="F79" s="601"/>
      <c r="G79" s="604"/>
      <c r="H79" s="441"/>
      <c r="I79" s="441"/>
      <c r="J79" s="473"/>
      <c r="K79" s="548"/>
    </row>
    <row r="80" spans="1:12" ht="36" x14ac:dyDescent="0.2">
      <c r="A80" s="539" t="s">
        <v>1106</v>
      </c>
      <c r="B80" s="542"/>
      <c r="C80" s="542"/>
      <c r="D80" s="542"/>
      <c r="E80" s="561"/>
      <c r="F80" s="640" t="s">
        <v>1107</v>
      </c>
      <c r="G80" s="604">
        <v>1.8</v>
      </c>
      <c r="H80" s="441">
        <v>2993000</v>
      </c>
      <c r="I80" s="441">
        <f>G80*H80</f>
        <v>5387400</v>
      </c>
      <c r="J80" s="473"/>
      <c r="K80" s="548"/>
    </row>
    <row r="81" spans="1:14" ht="36" x14ac:dyDescent="0.2">
      <c r="A81" s="539" t="s">
        <v>1108</v>
      </c>
      <c r="B81" s="542"/>
      <c r="C81" s="542"/>
      <c r="D81" s="542"/>
      <c r="E81" s="561"/>
      <c r="F81" s="640" t="s">
        <v>1109</v>
      </c>
      <c r="G81" s="604">
        <v>2</v>
      </c>
      <c r="H81" s="441">
        <v>4419000</v>
      </c>
      <c r="I81" s="441">
        <f>G81*H81</f>
        <v>8838000</v>
      </c>
      <c r="J81" s="473"/>
      <c r="K81" s="548"/>
    </row>
    <row r="82" spans="1:14" ht="24" x14ac:dyDescent="0.2">
      <c r="A82" s="539" t="s">
        <v>1110</v>
      </c>
      <c r="B82" s="542"/>
      <c r="C82" s="542"/>
      <c r="D82" s="542"/>
      <c r="E82" s="561"/>
      <c r="F82" s="601"/>
      <c r="G82" s="604"/>
      <c r="H82" s="441">
        <v>0</v>
      </c>
      <c r="I82" s="441">
        <v>0</v>
      </c>
      <c r="J82" s="473"/>
      <c r="K82" s="548"/>
    </row>
    <row r="83" spans="1:14" ht="12.75" x14ac:dyDescent="0.2">
      <c r="A83" s="539"/>
      <c r="B83" s="542"/>
      <c r="C83" s="542"/>
      <c r="D83" s="542"/>
      <c r="E83" s="561"/>
      <c r="F83" s="601"/>
      <c r="G83" s="604"/>
      <c r="H83" s="441"/>
      <c r="I83" s="441"/>
      <c r="J83" s="473"/>
      <c r="K83" s="548"/>
    </row>
    <row r="84" spans="1:14" ht="12.75" x14ac:dyDescent="0.2">
      <c r="A84" s="445" t="s">
        <v>925</v>
      </c>
      <c r="B84" s="542"/>
      <c r="C84" s="542"/>
      <c r="D84" s="542"/>
      <c r="E84" s="561"/>
      <c r="F84" s="499"/>
      <c r="G84" s="547"/>
      <c r="H84" s="547"/>
      <c r="I84" s="499"/>
      <c r="J84" s="473"/>
    </row>
    <row r="85" spans="1:14" ht="12.75" x14ac:dyDescent="0.2">
      <c r="A85" s="445" t="s">
        <v>926</v>
      </c>
      <c r="B85" s="542"/>
      <c r="C85" s="542"/>
      <c r="D85" s="542"/>
      <c r="E85" s="561"/>
      <c r="F85" s="499"/>
      <c r="G85" s="547"/>
      <c r="H85" s="547"/>
      <c r="I85" s="499"/>
      <c r="J85" s="473"/>
    </row>
    <row r="86" spans="1:14" ht="12.75" x14ac:dyDescent="0.2">
      <c r="A86" s="445" t="s">
        <v>927</v>
      </c>
      <c r="B86" s="542"/>
      <c r="C86" s="542">
        <v>4865</v>
      </c>
      <c r="D86" s="542">
        <v>1140</v>
      </c>
      <c r="E86" s="562"/>
      <c r="F86" s="499"/>
      <c r="G86" s="442">
        <v>4705</v>
      </c>
      <c r="H86" s="657">
        <v>1210</v>
      </c>
      <c r="I86" s="229">
        <f>G86*H86</f>
        <v>5693050</v>
      </c>
      <c r="J86" s="473"/>
    </row>
    <row r="87" spans="1:14" ht="48" x14ac:dyDescent="0.2">
      <c r="A87" s="539" t="s">
        <v>928</v>
      </c>
      <c r="B87" s="542"/>
      <c r="C87" s="542"/>
      <c r="D87" s="542"/>
      <c r="E87" s="562"/>
      <c r="F87" s="640" t="s">
        <v>1111</v>
      </c>
      <c r="G87" s="542"/>
      <c r="H87" s="542"/>
      <c r="I87" s="229">
        <v>0</v>
      </c>
      <c r="J87" s="473"/>
    </row>
    <row r="88" spans="1:14" ht="48" x14ac:dyDescent="0.2">
      <c r="A88" s="539" t="s">
        <v>1112</v>
      </c>
      <c r="B88" s="542"/>
      <c r="C88" s="542"/>
      <c r="D88" s="542"/>
      <c r="E88" s="562"/>
      <c r="F88" s="640" t="s">
        <v>1113</v>
      </c>
      <c r="G88" s="542"/>
      <c r="H88" s="542"/>
      <c r="I88" s="229">
        <v>0</v>
      </c>
      <c r="J88" s="473"/>
    </row>
    <row r="89" spans="1:14" ht="12.75" x14ac:dyDescent="0.2">
      <c r="A89" s="553" t="s">
        <v>1114</v>
      </c>
      <c r="B89" s="558"/>
      <c r="C89" s="542"/>
      <c r="D89" s="556"/>
      <c r="E89" s="542"/>
      <c r="F89" s="499"/>
      <c r="G89" s="547"/>
      <c r="H89" s="547"/>
      <c r="I89" s="499"/>
      <c r="J89" s="473"/>
      <c r="K89" s="548">
        <f>SUM(I86+I87)</f>
        <v>5693050</v>
      </c>
      <c r="L89" s="4" t="s">
        <v>965</v>
      </c>
    </row>
    <row r="90" spans="1:14" ht="24" x14ac:dyDescent="0.2">
      <c r="A90" s="563" t="s">
        <v>1115</v>
      </c>
      <c r="B90" s="607"/>
      <c r="C90" s="608"/>
      <c r="D90" s="442"/>
      <c r="E90" s="442"/>
      <c r="F90" s="609"/>
      <c r="G90" s="440"/>
      <c r="H90" s="440"/>
      <c r="I90" s="499"/>
      <c r="J90" s="473"/>
      <c r="K90" s="548"/>
      <c r="L90" s="548">
        <f>I15+I18+I21+I24+I27+I30+I33</f>
        <v>-123432901</v>
      </c>
      <c r="M90" s="610" t="s">
        <v>966</v>
      </c>
      <c r="N90" s="228"/>
    </row>
    <row r="91" spans="1:14" ht="12.75" x14ac:dyDescent="0.2">
      <c r="A91" s="588" t="s">
        <v>1116</v>
      </c>
      <c r="B91" s="611"/>
      <c r="C91" s="612"/>
      <c r="D91" s="613"/>
      <c r="E91" s="613"/>
      <c r="F91" s="614"/>
      <c r="G91" s="615"/>
      <c r="H91" s="615"/>
      <c r="I91" s="616">
        <v>0</v>
      </c>
      <c r="J91" s="473"/>
      <c r="K91" s="548"/>
      <c r="L91" s="548"/>
      <c r="M91" s="610"/>
      <c r="N91" s="228"/>
    </row>
    <row r="92" spans="1:14" ht="12.75" x14ac:dyDescent="0.2">
      <c r="A92" s="588"/>
      <c r="B92" s="611"/>
      <c r="C92" s="612"/>
      <c r="D92" s="613"/>
      <c r="E92" s="613"/>
      <c r="F92" s="611"/>
      <c r="G92" s="615"/>
      <c r="H92" s="615"/>
      <c r="I92" s="569"/>
      <c r="J92" s="473"/>
      <c r="K92" s="548"/>
      <c r="L92" s="548"/>
      <c r="N92" s="228"/>
    </row>
    <row r="93" spans="1:14" ht="12.75" x14ac:dyDescent="0.2">
      <c r="A93" s="588" t="s">
        <v>949</v>
      </c>
      <c r="B93" s="611"/>
      <c r="C93" s="612"/>
      <c r="D93" s="613"/>
      <c r="E93" s="613"/>
      <c r="F93" s="611"/>
      <c r="G93" s="615"/>
      <c r="H93" s="615"/>
      <c r="I93" s="569"/>
      <c r="J93" s="473"/>
      <c r="K93" s="548"/>
      <c r="L93" s="548"/>
      <c r="N93" s="228"/>
    </row>
    <row r="94" spans="1:14" ht="12.75" x14ac:dyDescent="0.2">
      <c r="A94" s="588" t="s">
        <v>950</v>
      </c>
      <c r="B94" s="611"/>
      <c r="C94" s="612"/>
      <c r="D94" s="613"/>
      <c r="E94" s="613"/>
      <c r="F94" s="611"/>
      <c r="G94" s="615"/>
      <c r="H94" s="615"/>
      <c r="I94" s="616">
        <v>0</v>
      </c>
      <c r="J94" s="473"/>
      <c r="K94" s="548"/>
      <c r="L94" s="548"/>
      <c r="N94" s="228"/>
    </row>
    <row r="95" spans="1:14" ht="12.75" x14ac:dyDescent="0.2">
      <c r="A95" s="589" t="s">
        <v>951</v>
      </c>
      <c r="B95" s="611"/>
      <c r="C95" s="612"/>
      <c r="D95" s="613"/>
      <c r="E95" s="613"/>
      <c r="F95" s="611"/>
      <c r="G95" s="615"/>
      <c r="H95" s="615"/>
      <c r="I95" s="616">
        <v>0</v>
      </c>
      <c r="J95" s="473"/>
      <c r="K95" s="548">
        <f>I94+I95</f>
        <v>0</v>
      </c>
      <c r="L95" s="548" t="s">
        <v>967</v>
      </c>
      <c r="N95" s="228"/>
    </row>
    <row r="96" spans="1:14" ht="13.5" thickBot="1" x14ac:dyDescent="0.25">
      <c r="A96" s="565"/>
      <c r="B96" s="566"/>
      <c r="C96" s="567"/>
      <c r="D96" s="568"/>
      <c r="E96" s="567"/>
      <c r="F96" s="569"/>
      <c r="G96" s="570"/>
      <c r="H96" s="570"/>
      <c r="I96" s="569"/>
      <c r="J96" s="473"/>
    </row>
    <row r="97" spans="1:256" ht="12.75" thickBot="1" x14ac:dyDescent="0.25">
      <c r="A97" s="571" t="s">
        <v>930</v>
      </c>
      <c r="B97" s="572"/>
      <c r="C97" s="572"/>
      <c r="D97" s="573"/>
      <c r="E97" s="574" t="e">
        <f>E12+E14+E17+E20+E23+E28+E31+E34+E40+E41+#REF!+E42+E44+E47+E49+E52+E56+E57+E61+E62+E65+E66+E69+#REF!+E72+E73+E75+E76</f>
        <v>#REF!</v>
      </c>
      <c r="F97" s="1354">
        <f>I12+I16+I19+I22+I25+I28+I31+I34+I35+I36+I40+I41+I42+I43+I44+I45+I47+I48+I49+I50+I52+I53+I56+I57+I64+I65+I67+I68+I69+I72+I73+I75+I76+I77+I80+I81+I82+I86+I87+I88+I94+I95+I91</f>
        <v>789557318</v>
      </c>
      <c r="G97" s="1354"/>
      <c r="H97" s="1354"/>
      <c r="I97" s="1355"/>
      <c r="J97" s="5"/>
      <c r="K97" s="575">
        <f>K78+K53+K35+K89</f>
        <v>789557318</v>
      </c>
      <c r="L97" s="617" t="s">
        <v>968</v>
      </c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</row>
    <row r="99" spans="1:256" ht="15.75" x14ac:dyDescent="0.2">
      <c r="A99" s="618"/>
      <c r="B99" s="619"/>
      <c r="C99" s="619"/>
      <c r="D99" s="619"/>
      <c r="E99" s="620"/>
      <c r="F99" s="621"/>
      <c r="G99" s="621"/>
      <c r="H99" s="621"/>
      <c r="I99" s="621"/>
    </row>
    <row r="100" spans="1:256" ht="12.75" x14ac:dyDescent="0.2">
      <c r="A100" s="658" t="s">
        <v>1117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N42"/>
  <sheetViews>
    <sheetView workbookViewId="0">
      <pane ySplit="7" topLeftCell="A37" activePane="bottomLeft" state="frozen"/>
      <selection activeCell="B65" sqref="B65"/>
      <selection pane="bottomLeft" activeCell="O55" sqref="O55"/>
    </sheetView>
  </sheetViews>
  <sheetFormatPr defaultColWidth="9.140625" defaultRowHeight="14.45" customHeight="1" x14ac:dyDescent="0.2"/>
  <cols>
    <col min="1" max="1" width="9.140625" style="8"/>
    <col min="2" max="2" width="5.140625" style="267" customWidth="1"/>
    <col min="3" max="3" width="50.42578125" style="12" customWidth="1"/>
    <col min="4" max="4" width="11.85546875" style="127" customWidth="1"/>
    <col min="5" max="5" width="12.7109375" style="127" customWidth="1"/>
    <col min="6" max="6" width="13.5703125" style="127" customWidth="1"/>
    <col min="7" max="9" width="0" style="128" hidden="1" customWidth="1"/>
    <col min="10" max="16384" width="9.140625" style="8"/>
  </cols>
  <sheetData>
    <row r="1" spans="2:14" ht="14.45" customHeight="1" x14ac:dyDescent="0.2">
      <c r="C1" s="1345" t="s">
        <v>1232</v>
      </c>
      <c r="D1" s="1345"/>
      <c r="E1" s="1345"/>
      <c r="F1" s="1345"/>
      <c r="G1" s="1345"/>
      <c r="H1" s="1345"/>
      <c r="I1" s="1345"/>
    </row>
    <row r="2" spans="2:14" ht="14.45" customHeight="1" x14ac:dyDescent="0.2">
      <c r="C2" s="1345"/>
      <c r="D2" s="1345"/>
      <c r="E2" s="1345"/>
      <c r="F2" s="1345"/>
      <c r="G2" s="1345"/>
      <c r="H2" s="1345"/>
      <c r="I2" s="1345"/>
    </row>
    <row r="3" spans="2:14" ht="14.45" customHeight="1" x14ac:dyDescent="0.2">
      <c r="B3" s="1349" t="s">
        <v>54</v>
      </c>
      <c r="C3" s="1341"/>
      <c r="D3" s="1341"/>
      <c r="E3" s="1341"/>
      <c r="F3" s="1341"/>
      <c r="G3" s="1341"/>
      <c r="H3" s="1341"/>
      <c r="I3" s="1341"/>
    </row>
    <row r="4" spans="2:14" s="9" customFormat="1" ht="14.45" customHeight="1" x14ac:dyDescent="0.2">
      <c r="B4" s="1356" t="s">
        <v>1128</v>
      </c>
      <c r="C4" s="1341"/>
      <c r="D4" s="1341"/>
      <c r="E4" s="1341"/>
      <c r="F4" s="1341"/>
      <c r="G4" s="1341"/>
      <c r="H4" s="1341"/>
      <c r="I4" s="1341"/>
    </row>
    <row r="5" spans="2:14" s="9" customFormat="1" ht="14.45" customHeight="1" x14ac:dyDescent="0.15">
      <c r="B5" s="150"/>
    </row>
    <row r="6" spans="2:14" ht="14.45" customHeight="1" x14ac:dyDescent="0.2">
      <c r="B6" s="1322" t="s">
        <v>459</v>
      </c>
      <c r="C6" s="1341"/>
      <c r="D6" s="1341"/>
      <c r="E6" s="1341"/>
      <c r="F6" s="1341"/>
      <c r="G6" s="1341"/>
      <c r="H6" s="1341"/>
      <c r="I6" s="1341"/>
    </row>
    <row r="7" spans="2:14" s="10" customFormat="1" ht="36.75" customHeight="1" x14ac:dyDescent="0.2">
      <c r="B7" s="1357" t="s">
        <v>56</v>
      </c>
      <c r="C7" s="1359" t="s">
        <v>86</v>
      </c>
      <c r="D7" s="1361" t="s">
        <v>1199</v>
      </c>
      <c r="E7" s="1361"/>
      <c r="F7" s="1361"/>
      <c r="G7" s="141"/>
      <c r="J7" s="1303" t="s">
        <v>1246</v>
      </c>
      <c r="K7" s="1303"/>
      <c r="L7" s="1303" t="s">
        <v>1246</v>
      </c>
      <c r="M7" s="1303"/>
      <c r="N7" s="1303"/>
    </row>
    <row r="8" spans="2:14" s="10" customFormat="1" ht="40.9" customHeight="1" x14ac:dyDescent="0.2">
      <c r="B8" s="1358"/>
      <c r="C8" s="1360"/>
      <c r="D8" s="1217" t="s">
        <v>62</v>
      </c>
      <c r="E8" s="1217" t="s">
        <v>63</v>
      </c>
      <c r="F8" s="1217" t="s">
        <v>64</v>
      </c>
      <c r="G8" s="141"/>
      <c r="J8" s="1031" t="s">
        <v>62</v>
      </c>
      <c r="K8" s="1031" t="s">
        <v>63</v>
      </c>
      <c r="L8" s="1031" t="s">
        <v>62</v>
      </c>
      <c r="M8" s="1031" t="s">
        <v>63</v>
      </c>
      <c r="N8" s="1032" t="s">
        <v>64</v>
      </c>
    </row>
    <row r="9" spans="2:14" s="10" customFormat="1" ht="14.45" customHeight="1" x14ac:dyDescent="0.2">
      <c r="B9" s="1218" t="s">
        <v>508</v>
      </c>
      <c r="C9" s="1219" t="s">
        <v>103</v>
      </c>
      <c r="D9" s="1047"/>
      <c r="E9" s="1047"/>
      <c r="F9" s="1047"/>
      <c r="G9" s="1050"/>
      <c r="H9" s="1178"/>
      <c r="I9" s="1178"/>
      <c r="J9" s="1178"/>
      <c r="K9" s="1178"/>
      <c r="L9" s="1178"/>
      <c r="M9" s="1178"/>
      <c r="N9" s="1178"/>
    </row>
    <row r="10" spans="2:14" s="10" customFormat="1" ht="10.5" customHeight="1" x14ac:dyDescent="0.2">
      <c r="B10" s="1218" t="s">
        <v>516</v>
      </c>
      <c r="C10" s="1219"/>
      <c r="D10" s="1047"/>
      <c r="E10" s="1047"/>
      <c r="F10" s="1047"/>
      <c r="G10" s="1050"/>
      <c r="H10" s="1178"/>
      <c r="I10" s="1178"/>
      <c r="J10" s="1178"/>
      <c r="K10" s="1178"/>
      <c r="L10" s="1178"/>
      <c r="M10" s="1178"/>
      <c r="N10" s="1178"/>
    </row>
    <row r="11" spans="2:14" s="10" customFormat="1" ht="14.45" customHeight="1" x14ac:dyDescent="0.2">
      <c r="B11" s="1218" t="s">
        <v>517</v>
      </c>
      <c r="C11" s="1220" t="s">
        <v>87</v>
      </c>
      <c r="D11" s="1047"/>
      <c r="E11" s="1047"/>
      <c r="F11" s="1047"/>
      <c r="G11" s="1050"/>
      <c r="H11" s="1178"/>
      <c r="I11" s="1178"/>
      <c r="J11" s="1178"/>
      <c r="K11" s="1178"/>
      <c r="L11" s="1178"/>
      <c r="M11" s="1178"/>
      <c r="N11" s="1178"/>
    </row>
    <row r="12" spans="2:14" s="10" customFormat="1" ht="14.45" customHeight="1" x14ac:dyDescent="0.2">
      <c r="B12" s="1218" t="s">
        <v>518</v>
      </c>
      <c r="C12" s="1221" t="s">
        <v>104</v>
      </c>
      <c r="D12" s="1047"/>
      <c r="E12" s="1047"/>
      <c r="F12" s="1047"/>
      <c r="G12" s="1050"/>
      <c r="H12" s="1178"/>
      <c r="I12" s="1178"/>
      <c r="J12" s="1178"/>
      <c r="K12" s="1178"/>
      <c r="L12" s="1178"/>
      <c r="M12" s="1178"/>
      <c r="N12" s="1178"/>
    </row>
    <row r="13" spans="2:14" s="10" customFormat="1" ht="14.45" customHeight="1" x14ac:dyDescent="0.2">
      <c r="B13" s="1218" t="s">
        <v>519</v>
      </c>
      <c r="C13" s="1222" t="s">
        <v>105</v>
      </c>
      <c r="D13" s="1037">
        <v>0</v>
      </c>
      <c r="E13" s="1037">
        <v>0</v>
      </c>
      <c r="F13" s="1037">
        <f>SUM(D13:E13)</f>
        <v>0</v>
      </c>
      <c r="G13" s="1050"/>
      <c r="H13" s="1178"/>
      <c r="I13" s="1178"/>
      <c r="J13" s="1178"/>
      <c r="K13" s="1178"/>
      <c r="L13" s="1178"/>
      <c r="M13" s="1178"/>
      <c r="N13" s="1178"/>
    </row>
    <row r="14" spans="2:14" s="10" customFormat="1" ht="14.45" customHeight="1" x14ac:dyDescent="0.2">
      <c r="B14" s="1218" t="s">
        <v>520</v>
      </c>
      <c r="C14" s="1222" t="s">
        <v>301</v>
      </c>
      <c r="D14" s="1037"/>
      <c r="E14" s="1037"/>
      <c r="F14" s="1037">
        <f>SUM(D14:E14)</f>
        <v>0</v>
      </c>
      <c r="G14" s="1050"/>
      <c r="H14" s="1178"/>
      <c r="I14" s="1178"/>
      <c r="J14" s="1178"/>
      <c r="K14" s="1178"/>
      <c r="L14" s="1178"/>
      <c r="M14" s="1178"/>
      <c r="N14" s="1178"/>
    </row>
    <row r="15" spans="2:14" s="10" customFormat="1" ht="14.45" customHeight="1" x14ac:dyDescent="0.2">
      <c r="B15" s="1218" t="s">
        <v>521</v>
      </c>
      <c r="C15" s="1057" t="s">
        <v>106</v>
      </c>
      <c r="D15" s="1037"/>
      <c r="E15" s="1037">
        <v>0</v>
      </c>
      <c r="F15" s="1037">
        <f>SUM(D15:E15)</f>
        <v>0</v>
      </c>
      <c r="G15" s="1050"/>
      <c r="H15" s="1178"/>
      <c r="I15" s="1178"/>
      <c r="J15" s="1178"/>
      <c r="K15" s="1178"/>
      <c r="L15" s="1178"/>
      <c r="M15" s="1178"/>
      <c r="N15" s="1178"/>
    </row>
    <row r="16" spans="2:14" s="10" customFormat="1" ht="14.45" customHeight="1" x14ac:dyDescent="0.2">
      <c r="B16" s="1218" t="s">
        <v>522</v>
      </c>
      <c r="C16" s="1057" t="s">
        <v>107</v>
      </c>
      <c r="D16" s="1037"/>
      <c r="E16" s="1037"/>
      <c r="F16" s="1037"/>
      <c r="G16" s="1050"/>
      <c r="H16" s="1178"/>
      <c r="I16" s="1178"/>
      <c r="J16" s="1178"/>
      <c r="K16" s="1178"/>
      <c r="L16" s="1178"/>
      <c r="M16" s="1178"/>
      <c r="N16" s="1178"/>
    </row>
    <row r="17" spans="2:14" s="10" customFormat="1" ht="14.45" customHeight="1" x14ac:dyDescent="0.2">
      <c r="B17" s="1218" t="s">
        <v>523</v>
      </c>
      <c r="C17" s="1166" t="s">
        <v>108</v>
      </c>
      <c r="D17" s="1035">
        <f>SUM(D13:D16)</f>
        <v>0</v>
      </c>
      <c r="E17" s="1035">
        <f>SUM(E13:E16)</f>
        <v>0</v>
      </c>
      <c r="F17" s="1035">
        <f>SUM(F13:F16)</f>
        <v>0</v>
      </c>
      <c r="G17" s="1050"/>
      <c r="H17" s="1178"/>
      <c r="I17" s="1178"/>
      <c r="J17" s="1178"/>
      <c r="K17" s="1178"/>
      <c r="L17" s="1178"/>
      <c r="M17" s="1178"/>
      <c r="N17" s="1178"/>
    </row>
    <row r="18" spans="2:14" s="10" customFormat="1" ht="14.45" customHeight="1" x14ac:dyDescent="0.2">
      <c r="B18" s="1218" t="s">
        <v>565</v>
      </c>
      <c r="C18" s="1166"/>
      <c r="D18" s="1035"/>
      <c r="E18" s="1035"/>
      <c r="F18" s="1035"/>
      <c r="G18" s="1050"/>
      <c r="H18" s="1178"/>
      <c r="I18" s="1178"/>
      <c r="J18" s="1178"/>
      <c r="K18" s="1178"/>
      <c r="L18" s="1178"/>
      <c r="M18" s="1178"/>
      <c r="N18" s="1178"/>
    </row>
    <row r="19" spans="2:14" s="10" customFormat="1" ht="14.45" customHeight="1" x14ac:dyDescent="0.2">
      <c r="B19" s="1218" t="s">
        <v>566</v>
      </c>
      <c r="C19" s="1223" t="s">
        <v>302</v>
      </c>
      <c r="D19" s="1035"/>
      <c r="E19" s="1035"/>
      <c r="F19" s="1035"/>
      <c r="G19" s="1050"/>
      <c r="H19" s="1178"/>
      <c r="I19" s="1178"/>
      <c r="J19" s="1178"/>
      <c r="K19" s="1178"/>
      <c r="L19" s="1178"/>
      <c r="M19" s="1178"/>
      <c r="N19" s="1178"/>
    </row>
    <row r="20" spans="2:14" s="10" customFormat="1" ht="14.45" customHeight="1" x14ac:dyDescent="0.2">
      <c r="B20" s="1218" t="s">
        <v>567</v>
      </c>
      <c r="C20" s="1057"/>
      <c r="D20" s="1035"/>
      <c r="E20" s="1037"/>
      <c r="F20" s="1037"/>
      <c r="G20" s="1050"/>
      <c r="H20" s="1178"/>
      <c r="I20" s="1178"/>
      <c r="J20" s="1178"/>
      <c r="K20" s="1178"/>
      <c r="L20" s="1178"/>
      <c r="M20" s="1178"/>
      <c r="N20" s="1178"/>
    </row>
    <row r="21" spans="2:14" s="10" customFormat="1" ht="14.45" customHeight="1" x14ac:dyDescent="0.2">
      <c r="B21" s="1218" t="s">
        <v>568</v>
      </c>
      <c r="C21" s="1166" t="s">
        <v>303</v>
      </c>
      <c r="D21" s="1035">
        <f>D20</f>
        <v>0</v>
      </c>
      <c r="E21" s="1035">
        <f>E20</f>
        <v>0</v>
      </c>
      <c r="F21" s="1035">
        <f>F20</f>
        <v>0</v>
      </c>
      <c r="G21" s="1050"/>
      <c r="H21" s="1178"/>
      <c r="I21" s="1178"/>
      <c r="J21" s="1178"/>
      <c r="K21" s="1178"/>
      <c r="L21" s="1178"/>
      <c r="M21" s="1178"/>
      <c r="N21" s="1178"/>
    </row>
    <row r="22" spans="2:14" s="10" customFormat="1" ht="12" customHeight="1" x14ac:dyDescent="0.2">
      <c r="B22" s="1218" t="s">
        <v>569</v>
      </c>
      <c r="C22" s="1214"/>
      <c r="D22" s="1047"/>
      <c r="E22" s="1047"/>
      <c r="F22" s="1047"/>
      <c r="G22" s="1050"/>
      <c r="H22" s="1178"/>
      <c r="I22" s="1178"/>
      <c r="J22" s="1178"/>
      <c r="K22" s="1178"/>
      <c r="L22" s="1178"/>
      <c r="M22" s="1178"/>
      <c r="N22" s="1178"/>
    </row>
    <row r="23" spans="2:14" s="9" customFormat="1" ht="14.45" customHeight="1" x14ac:dyDescent="0.2">
      <c r="B23" s="1218" t="s">
        <v>570</v>
      </c>
      <c r="C23" s="1224" t="s">
        <v>1023</v>
      </c>
      <c r="D23" s="1035"/>
      <c r="E23" s="1035"/>
      <c r="F23" s="1035"/>
      <c r="G23" s="1053"/>
      <c r="H23" s="1051"/>
      <c r="I23" s="1051"/>
      <c r="J23" s="1051"/>
      <c r="K23" s="1051"/>
      <c r="L23" s="1051"/>
      <c r="M23" s="1051"/>
      <c r="N23" s="1051"/>
    </row>
    <row r="24" spans="2:14" s="9" customFormat="1" ht="14.45" customHeight="1" x14ac:dyDescent="0.2">
      <c r="B24" s="1218"/>
      <c r="C24" s="1224"/>
      <c r="D24" s="1035"/>
      <c r="E24" s="1035"/>
      <c r="F24" s="1035"/>
      <c r="G24" s="1053"/>
      <c r="H24" s="1051"/>
      <c r="I24" s="1051"/>
      <c r="J24" s="1051"/>
      <c r="K24" s="1051"/>
      <c r="L24" s="1051"/>
      <c r="M24" s="1051"/>
      <c r="N24" s="1051"/>
    </row>
    <row r="25" spans="2:14" s="9" customFormat="1" ht="14.45" customHeight="1" x14ac:dyDescent="0.2">
      <c r="B25" s="1218"/>
      <c r="C25" s="1224"/>
      <c r="D25" s="1035"/>
      <c r="E25" s="1035"/>
      <c r="F25" s="1035"/>
      <c r="G25" s="1053"/>
      <c r="H25" s="1051"/>
      <c r="I25" s="1051"/>
      <c r="J25" s="1051"/>
      <c r="K25" s="1051"/>
      <c r="L25" s="1051"/>
      <c r="M25" s="1051"/>
      <c r="N25" s="1051"/>
    </row>
    <row r="26" spans="2:14" ht="14.45" customHeight="1" x14ac:dyDescent="0.2">
      <c r="B26" s="1218" t="s">
        <v>571</v>
      </c>
      <c r="C26" s="1057"/>
      <c r="D26" s="1037"/>
      <c r="E26" s="1037"/>
      <c r="F26" s="1037">
        <f>SUM(D26:E26)</f>
        <v>0</v>
      </c>
      <c r="G26" s="1043"/>
      <c r="H26" s="1038"/>
      <c r="I26" s="1038"/>
      <c r="J26" s="1038"/>
      <c r="K26" s="1038"/>
      <c r="L26" s="1038"/>
      <c r="M26" s="1038"/>
      <c r="N26" s="1038"/>
    </row>
    <row r="27" spans="2:14" ht="14.45" customHeight="1" x14ac:dyDescent="0.2">
      <c r="B27" s="1218" t="s">
        <v>572</v>
      </c>
      <c r="C27" s="1166" t="s">
        <v>109</v>
      </c>
      <c r="D27" s="1035">
        <f>SUM(D26:D26)</f>
        <v>0</v>
      </c>
      <c r="E27" s="1035">
        <f>SUM(E26:E26)</f>
        <v>0</v>
      </c>
      <c r="F27" s="1035">
        <f>SUM(F26:F26)</f>
        <v>0</v>
      </c>
      <c r="G27" s="1043"/>
      <c r="H27" s="1038"/>
      <c r="I27" s="1038"/>
      <c r="J27" s="1038"/>
      <c r="K27" s="1038"/>
      <c r="L27" s="1038"/>
      <c r="M27" s="1038"/>
      <c r="N27" s="1038"/>
    </row>
    <row r="28" spans="2:14" ht="14.45" customHeight="1" x14ac:dyDescent="0.2">
      <c r="B28" s="1218" t="s">
        <v>574</v>
      </c>
      <c r="C28" s="1166"/>
      <c r="D28" s="1035"/>
      <c r="E28" s="1035"/>
      <c r="F28" s="1035"/>
      <c r="G28" s="1043"/>
      <c r="H28" s="1038"/>
      <c r="I28" s="1038"/>
      <c r="J28" s="1038"/>
      <c r="K28" s="1038"/>
      <c r="L28" s="1038"/>
      <c r="M28" s="1038"/>
      <c r="N28" s="1038"/>
    </row>
    <row r="29" spans="2:14" ht="14.45" customHeight="1" x14ac:dyDescent="0.2">
      <c r="B29" s="1218" t="s">
        <v>575</v>
      </c>
      <c r="C29" s="1225" t="s">
        <v>179</v>
      </c>
      <c r="D29" s="1035"/>
      <c r="E29" s="1037"/>
      <c r="F29" s="1037"/>
      <c r="G29" s="1043"/>
      <c r="H29" s="1038"/>
      <c r="I29" s="1038"/>
      <c r="J29" s="1038"/>
      <c r="K29" s="1038"/>
      <c r="L29" s="1038"/>
      <c r="M29" s="1038"/>
      <c r="N29" s="1038"/>
    </row>
    <row r="30" spans="2:14" ht="14.45" customHeight="1" x14ac:dyDescent="0.2">
      <c r="B30" s="1218" t="s">
        <v>576</v>
      </c>
      <c r="C30" s="1057"/>
      <c r="D30" s="1035"/>
      <c r="E30" s="1037"/>
      <c r="F30" s="1037"/>
      <c r="G30" s="1043"/>
      <c r="H30" s="1038"/>
      <c r="I30" s="1038"/>
      <c r="J30" s="1038"/>
      <c r="K30" s="1038"/>
      <c r="L30" s="1038"/>
      <c r="M30" s="1038"/>
      <c r="N30" s="1038"/>
    </row>
    <row r="31" spans="2:14" ht="14.45" customHeight="1" x14ac:dyDescent="0.2">
      <c r="B31" s="1218" t="s">
        <v>577</v>
      </c>
      <c r="C31" s="1166" t="s">
        <v>180</v>
      </c>
      <c r="D31" s="1035"/>
      <c r="E31" s="1035">
        <f>SUM(E30)</f>
        <v>0</v>
      </c>
      <c r="F31" s="1035">
        <f>SUM(F30)</f>
        <v>0</v>
      </c>
      <c r="G31" s="1043"/>
      <c r="H31" s="1038"/>
      <c r="I31" s="1038"/>
      <c r="J31" s="1038"/>
      <c r="K31" s="1038"/>
      <c r="L31" s="1038"/>
      <c r="M31" s="1038"/>
      <c r="N31" s="1038"/>
    </row>
    <row r="32" spans="2:14" ht="14.45" customHeight="1" x14ac:dyDescent="0.2">
      <c r="B32" s="1218" t="s">
        <v>578</v>
      </c>
      <c r="C32" s="1166"/>
      <c r="D32" s="1035"/>
      <c r="E32" s="1035"/>
      <c r="F32" s="1035"/>
      <c r="G32" s="1043"/>
      <c r="H32" s="1038"/>
      <c r="I32" s="1038"/>
      <c r="J32" s="1038"/>
      <c r="K32" s="1038"/>
      <c r="L32" s="1038"/>
      <c r="M32" s="1038"/>
      <c r="N32" s="1038"/>
    </row>
    <row r="33" spans="2:14" ht="14.45" customHeight="1" x14ac:dyDescent="0.2">
      <c r="B33" s="1218" t="s">
        <v>579</v>
      </c>
      <c r="C33" s="1166" t="s">
        <v>167</v>
      </c>
      <c r="D33" s="1035">
        <f>D27+D31</f>
        <v>0</v>
      </c>
      <c r="E33" s="1035">
        <f>E27+E31</f>
        <v>0</v>
      </c>
      <c r="F33" s="1035">
        <f>F27+F31</f>
        <v>0</v>
      </c>
      <c r="G33" s="1043"/>
      <c r="H33" s="1038"/>
      <c r="I33" s="1038"/>
      <c r="J33" s="1038"/>
      <c r="K33" s="1038"/>
      <c r="L33" s="1038"/>
      <c r="M33" s="1038"/>
      <c r="N33" s="1038"/>
    </row>
    <row r="34" spans="2:14" ht="14.45" customHeight="1" x14ac:dyDescent="0.2">
      <c r="B34" s="1218" t="s">
        <v>580</v>
      </c>
      <c r="C34" s="1166"/>
      <c r="D34" s="1035"/>
      <c r="E34" s="1035"/>
      <c r="F34" s="1035"/>
      <c r="G34" s="1043"/>
      <c r="H34" s="1038"/>
      <c r="I34" s="1038"/>
      <c r="J34" s="1038"/>
      <c r="K34" s="1038"/>
      <c r="L34" s="1038"/>
      <c r="M34" s="1038"/>
      <c r="N34" s="1038"/>
    </row>
    <row r="35" spans="2:14" s="10" customFormat="1" ht="14.45" customHeight="1" x14ac:dyDescent="0.2">
      <c r="B35" s="1218" t="s">
        <v>581</v>
      </c>
      <c r="C35" s="1225" t="s">
        <v>110</v>
      </c>
      <c r="D35" s="1050"/>
      <c r="E35" s="1050"/>
      <c r="F35" s="1050"/>
      <c r="G35" s="1050"/>
      <c r="H35" s="1178"/>
      <c r="I35" s="1178"/>
      <c r="J35" s="1178"/>
      <c r="K35" s="1178"/>
      <c r="L35" s="1178"/>
      <c r="M35" s="1178"/>
      <c r="N35" s="1178"/>
    </row>
    <row r="36" spans="2:14" s="10" customFormat="1" ht="14.45" customHeight="1" x14ac:dyDescent="0.2">
      <c r="B36" s="1218" t="s">
        <v>601</v>
      </c>
      <c r="C36" s="1057" t="s">
        <v>111</v>
      </c>
      <c r="D36" s="1050"/>
      <c r="E36" s="1037">
        <v>2870</v>
      </c>
      <c r="F36" s="1037">
        <f>SUM(E36)</f>
        <v>2870</v>
      </c>
      <c r="G36" s="1050"/>
      <c r="H36" s="1178"/>
      <c r="I36" s="1178"/>
      <c r="J36" s="1178"/>
      <c r="K36" s="1178"/>
      <c r="L36" s="1178"/>
      <c r="M36" s="1178"/>
      <c r="N36" s="1178"/>
    </row>
    <row r="37" spans="2:14" s="10" customFormat="1" ht="14.45" customHeight="1" x14ac:dyDescent="0.2">
      <c r="B37" s="1218" t="s">
        <v>602</v>
      </c>
      <c r="C37" s="1166" t="s">
        <v>112</v>
      </c>
      <c r="D37" s="1035">
        <f>SUM(D36:D36)</f>
        <v>0</v>
      </c>
      <c r="E37" s="1035">
        <f>SUM(E36:E36)</f>
        <v>2870</v>
      </c>
      <c r="F37" s="1035">
        <f>SUM(F36:F36)</f>
        <v>2870</v>
      </c>
      <c r="G37" s="1047"/>
      <c r="H37" s="1178"/>
      <c r="I37" s="1178"/>
      <c r="J37" s="1178"/>
      <c r="K37" s="1178"/>
      <c r="L37" s="1178"/>
      <c r="M37" s="1178"/>
      <c r="N37" s="1178"/>
    </row>
    <row r="38" spans="2:14" s="10" customFormat="1" ht="15.75" customHeight="1" x14ac:dyDescent="0.2">
      <c r="B38" s="1218" t="s">
        <v>603</v>
      </c>
      <c r="C38" s="1166"/>
      <c r="D38" s="1050"/>
      <c r="E38" s="1050"/>
      <c r="F38" s="1050"/>
      <c r="G38" s="1050"/>
      <c r="H38" s="1178"/>
      <c r="I38" s="1178"/>
      <c r="J38" s="1178"/>
      <c r="K38" s="1178"/>
      <c r="L38" s="1178"/>
      <c r="M38" s="1178"/>
      <c r="N38" s="1178"/>
    </row>
    <row r="39" spans="2:14" s="10" customFormat="1" ht="14.45" customHeight="1" x14ac:dyDescent="0.2">
      <c r="B39" s="1218" t="s">
        <v>604</v>
      </c>
      <c r="C39" s="1166" t="s">
        <v>113</v>
      </c>
      <c r="D39" s="1035">
        <f>D37+D33+D17</f>
        <v>0</v>
      </c>
      <c r="E39" s="1035">
        <f>E37+E33+E17+E21</f>
        <v>2870</v>
      </c>
      <c r="F39" s="1035">
        <f>F37+F33+F17+F21</f>
        <v>2870</v>
      </c>
      <c r="G39" s="1035">
        <f>G37+G33+G17+G21</f>
        <v>0</v>
      </c>
      <c r="H39" s="1035">
        <f>H37+H33+H17+H21</f>
        <v>0</v>
      </c>
      <c r="I39" s="1035">
        <f>I37+I33+I17+I21</f>
        <v>0</v>
      </c>
      <c r="J39" s="1178"/>
      <c r="K39" s="1178"/>
      <c r="L39" s="1178"/>
      <c r="M39" s="1178"/>
      <c r="N39" s="1178"/>
    </row>
    <row r="40" spans="2:14" ht="14.45" customHeight="1" x14ac:dyDescent="0.2">
      <c r="B40" s="1218" t="s">
        <v>605</v>
      </c>
      <c r="C40" s="1166"/>
      <c r="D40" s="1053"/>
      <c r="E40" s="1053"/>
      <c r="F40" s="1053"/>
      <c r="G40" s="1037"/>
      <c r="H40" s="1037"/>
      <c r="I40" s="1037"/>
      <c r="J40" s="1038"/>
      <c r="K40" s="1038"/>
      <c r="L40" s="1038"/>
      <c r="M40" s="1038"/>
      <c r="N40" s="1038"/>
    </row>
    <row r="41" spans="2:14" ht="14.45" customHeight="1" x14ac:dyDescent="0.2">
      <c r="B41" s="1218" t="s">
        <v>606</v>
      </c>
      <c r="C41" s="1057"/>
      <c r="D41" s="1043"/>
      <c r="E41" s="1043"/>
      <c r="F41" s="1043"/>
      <c r="G41" s="1037"/>
      <c r="H41" s="1037"/>
      <c r="I41" s="1037"/>
      <c r="J41" s="1038"/>
      <c r="K41" s="1038"/>
      <c r="L41" s="1038"/>
      <c r="M41" s="1038"/>
      <c r="N41" s="1038"/>
    </row>
    <row r="42" spans="2:14" ht="14.45" customHeight="1" x14ac:dyDescent="0.2">
      <c r="B42" s="1218" t="s">
        <v>607</v>
      </c>
      <c r="C42" s="1166" t="s">
        <v>1079</v>
      </c>
      <c r="D42" s="1035">
        <f>D39+D40</f>
        <v>0</v>
      </c>
      <c r="E42" s="1035">
        <f>E39+E40</f>
        <v>2870</v>
      </c>
      <c r="F42" s="1035">
        <f>F39+F40</f>
        <v>2870</v>
      </c>
      <c r="G42" s="1037"/>
      <c r="H42" s="1037"/>
      <c r="I42" s="1037"/>
      <c r="J42" s="1038"/>
      <c r="K42" s="1038"/>
      <c r="L42" s="1038"/>
      <c r="M42" s="1038"/>
      <c r="N42" s="1038"/>
    </row>
  </sheetData>
  <sheetProtection selectLockedCells="1" selectUnlockedCells="1"/>
  <mergeCells count="9">
    <mergeCell ref="J7:K7"/>
    <mergeCell ref="L7:N7"/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6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Kondákorné Farkas Erika</cp:lastModifiedBy>
  <cp:lastPrinted>2018-04-12T06:56:47Z</cp:lastPrinted>
  <dcterms:created xsi:type="dcterms:W3CDTF">2013-12-16T15:47:29Z</dcterms:created>
  <dcterms:modified xsi:type="dcterms:W3CDTF">2018-04-17T13:19:50Z</dcterms:modified>
</cp:coreProperties>
</file>